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AB098AB6-6398-4FE1-A8F1-4A93BB0E983D}" xr6:coauthVersionLast="47" xr6:coauthVersionMax="47" xr10:uidLastSave="{00000000-0000-0000-0000-000000000000}"/>
  <bookViews>
    <workbookView xWindow="-120" yWindow="-120" windowWidth="20640" windowHeight="11160" tabRatio="658" xr2:uid="{00000000-000D-0000-FFFF-FFFF00000000}"/>
  </bookViews>
  <sheets>
    <sheet name="ورود اطلاعات" sheetId="5" r:id="rId1"/>
    <sheet name="جدول محاسبات" sheetId="7" r:id="rId2"/>
    <sheet name="حکم سال 1402" sheetId="8" r:id="rId3"/>
    <sheet name="حکم سال 1403" sheetId="9" r:id="rId4"/>
    <sheet name="Sheet1" sheetId="11" state="veryHidden" r:id="rId5"/>
    <sheet name="Sheet2" sheetId="6" state="veryHidden" r:id="rId6"/>
    <sheet name="ورود اطلاعات (2)" sheetId="10" state="veryHidden" r:id="rId7"/>
  </sheets>
  <definedNames>
    <definedName name="_xlnm.Print_Area" localSheetId="1">'جدول محاسبات'!$B$1:$I$45</definedName>
    <definedName name="_xlnm.Print_Area" localSheetId="2">'حکم سال 1402'!$B$1:$H$50</definedName>
    <definedName name="_xlnm.Print_Area" localSheetId="3">'حکم سال 1403'!$B$1:$H$49</definedName>
    <definedName name="_xlnm.Print_Area" localSheetId="0">'ورود اطلاعات'!$B$1:$F$28</definedName>
    <definedName name="_xlnm.Print_Area" localSheetId="6">'ورود اطلاعات (2)'!$B$1:$G$28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7" l="1"/>
  <c r="H40" i="8" s="1"/>
  <c r="F30" i="7"/>
  <c r="H30" i="7" s="1"/>
  <c r="P54" i="6"/>
  <c r="G15" i="7"/>
  <c r="F19" i="7"/>
  <c r="M58" i="6" s="1"/>
  <c r="F20" i="7"/>
  <c r="I21" i="11"/>
  <c r="I22" i="11"/>
  <c r="J20" i="11"/>
  <c r="J19" i="11"/>
  <c r="G24" i="7"/>
  <c r="G23" i="7"/>
  <c r="I28" i="7"/>
  <c r="H39" i="9" s="1"/>
  <c r="L13" i="11"/>
  <c r="L12" i="11"/>
  <c r="K59" i="6"/>
  <c r="N54" i="6"/>
  <c r="B3" i="11"/>
  <c r="C3" i="11" s="1"/>
  <c r="B2" i="11"/>
  <c r="C2" i="11" s="1"/>
  <c r="G40" i="9" l="1"/>
  <c r="I30" i="7"/>
  <c r="H40" i="9" s="1"/>
  <c r="G30" i="7"/>
  <c r="H41" i="8" s="1"/>
  <c r="G41" i="8"/>
  <c r="H19" i="7"/>
  <c r="I19" i="7" s="1"/>
  <c r="J22" i="11"/>
  <c r="H20" i="7" s="1"/>
  <c r="J21" i="11"/>
  <c r="G20" i="7"/>
  <c r="I25" i="7"/>
  <c r="G19" i="7"/>
  <c r="C4" i="11"/>
  <c r="I15" i="7"/>
  <c r="H28" i="9" l="1"/>
  <c r="G11" i="7"/>
  <c r="H24" i="8" s="1"/>
  <c r="G8" i="7" l="1"/>
  <c r="N47" i="6" s="1"/>
  <c r="I8" i="7" l="1"/>
  <c r="H21" i="9" s="1"/>
  <c r="Z3" i="10"/>
  <c r="Z2" i="10"/>
  <c r="Z1" i="10"/>
  <c r="AC8" i="10"/>
  <c r="H72" i="6" l="1"/>
  <c r="H65" i="6" l="1"/>
  <c r="D8" i="10" l="1"/>
  <c r="AC6" i="10"/>
  <c r="AC5" i="10"/>
  <c r="AC4" i="10"/>
  <c r="AC3" i="10"/>
  <c r="AC2" i="10"/>
  <c r="AC1" i="10"/>
  <c r="AC7" i="10" l="1"/>
  <c r="AD8" i="10"/>
  <c r="Z4" i="10"/>
  <c r="AC9" i="10" s="1"/>
  <c r="AD7" i="10" l="1"/>
  <c r="AC10" i="10"/>
  <c r="AC11" i="10" s="1"/>
  <c r="K11" i="10" s="1"/>
  <c r="AD9" i="10"/>
  <c r="AD10" i="10" l="1"/>
  <c r="AD11" i="10" s="1"/>
  <c r="G21" i="7"/>
  <c r="F4" i="7"/>
  <c r="F16" i="7"/>
  <c r="M55" i="6" s="1"/>
  <c r="N55" i="6" s="1"/>
  <c r="F5" i="7"/>
  <c r="H28" i="8"/>
  <c r="G10" i="7"/>
  <c r="M43" i="6" l="1"/>
  <c r="N43" i="6" s="1"/>
  <c r="G4" i="7"/>
  <c r="M44" i="6"/>
  <c r="N44" i="6" s="1"/>
  <c r="H16" i="7"/>
  <c r="Q7" i="10"/>
  <c r="Q6" i="10"/>
  <c r="G55" i="6"/>
  <c r="H55" i="6" s="1"/>
  <c r="G56" i="6"/>
  <c r="H56" i="6" s="1"/>
  <c r="G66" i="6"/>
  <c r="H66" i="6" s="1"/>
  <c r="G16" i="7"/>
  <c r="G5" i="7"/>
  <c r="H34" i="8"/>
  <c r="AG39" i="6"/>
  <c r="K35" i="6" l="1"/>
  <c r="N60" i="6" s="1"/>
  <c r="H4" i="7"/>
  <c r="I4" i="7" s="1"/>
  <c r="H5" i="7"/>
  <c r="I5" i="7" s="1"/>
  <c r="H18" i="9" s="1"/>
  <c r="I16" i="7"/>
  <c r="H29" i="9" s="1"/>
  <c r="G29" i="9"/>
  <c r="AA5" i="6"/>
  <c r="AC5" i="6"/>
  <c r="AA6" i="6"/>
  <c r="AC6" i="6"/>
  <c r="AA7" i="6"/>
  <c r="AC7" i="6"/>
  <c r="AA8" i="6"/>
  <c r="AC8" i="6"/>
  <c r="AA9" i="6"/>
  <c r="AC9" i="6"/>
  <c r="AA10" i="6"/>
  <c r="AC10" i="6"/>
  <c r="AC12" i="6"/>
  <c r="Z23" i="6"/>
  <c r="Z24" i="6"/>
  <c r="Z25" i="6"/>
  <c r="Z26" i="6"/>
  <c r="Z27" i="6"/>
  <c r="Z28" i="6"/>
  <c r="Z29" i="6"/>
  <c r="Z30" i="6"/>
  <c r="Z31" i="6"/>
  <c r="Z32" i="6"/>
  <c r="Z33" i="6"/>
  <c r="Z34" i="6"/>
  <c r="Z35" i="6"/>
  <c r="Z36" i="6"/>
  <c r="Z37" i="6"/>
  <c r="Z38" i="6"/>
  <c r="Z39" i="6"/>
  <c r="Z40" i="6"/>
  <c r="AG40" i="6"/>
  <c r="AL40" i="6" s="1"/>
  <c r="Z41" i="6"/>
  <c r="AB41" i="6"/>
  <c r="AD41" i="6" s="1"/>
  <c r="AG41" i="6"/>
  <c r="AI41" i="6" s="1"/>
  <c r="Z42" i="6"/>
  <c r="AG42" i="6"/>
  <c r="AL42" i="6" s="1"/>
  <c r="Z43" i="6"/>
  <c r="AG43" i="6"/>
  <c r="M63" i="6"/>
  <c r="N63" i="6" s="1"/>
  <c r="M62" i="6"/>
  <c r="N62" i="6" s="1"/>
  <c r="G22" i="7"/>
  <c r="M59" i="6"/>
  <c r="F18" i="7"/>
  <c r="F17" i="7"/>
  <c r="F14" i="7"/>
  <c r="G13" i="7"/>
  <c r="H26" i="8" s="1"/>
  <c r="G12" i="7"/>
  <c r="H25" i="8" s="1"/>
  <c r="H23" i="8"/>
  <c r="F9" i="7"/>
  <c r="H59" i="6"/>
  <c r="F6" i="7"/>
  <c r="Q8" i="10" s="1"/>
  <c r="R6" i="10" s="1"/>
  <c r="H18" i="8"/>
  <c r="H17" i="9" l="1"/>
  <c r="G17" i="9"/>
  <c r="M57" i="6"/>
  <c r="N57" i="6" s="1"/>
  <c r="G18" i="7"/>
  <c r="H31" i="8" s="1"/>
  <c r="G18" i="9"/>
  <c r="M48" i="6"/>
  <c r="N48" i="6" s="1"/>
  <c r="M53" i="6"/>
  <c r="N53" i="6" s="1"/>
  <c r="M56" i="6"/>
  <c r="N56" i="6" s="1"/>
  <c r="N61" i="6"/>
  <c r="I22" i="7" s="1"/>
  <c r="H38" i="9" s="1"/>
  <c r="R7" i="10"/>
  <c r="Q9" i="10" s="1"/>
  <c r="K12" i="10" s="1"/>
  <c r="I21" i="7"/>
  <c r="H34" i="9" s="1"/>
  <c r="G68" i="6"/>
  <c r="H68" i="6" s="1"/>
  <c r="G73" i="6"/>
  <c r="H73" i="6" s="1"/>
  <c r="G74" i="6"/>
  <c r="H74" i="6" s="1"/>
  <c r="G60" i="6"/>
  <c r="H60" i="6" s="1"/>
  <c r="G64" i="6"/>
  <c r="H64" i="6" s="1"/>
  <c r="G67" i="6"/>
  <c r="H67" i="6" s="1"/>
  <c r="H38" i="8"/>
  <c r="G69" i="6"/>
  <c r="H69" i="6" s="1"/>
  <c r="G70" i="6"/>
  <c r="H70" i="6" s="1"/>
  <c r="G9" i="7"/>
  <c r="H22" i="8" s="1"/>
  <c r="G6" i="7"/>
  <c r="I38" i="6"/>
  <c r="I39" i="6"/>
  <c r="H21" i="8"/>
  <c r="G17" i="7"/>
  <c r="G14" i="7"/>
  <c r="G33" i="8"/>
  <c r="G19" i="8"/>
  <c r="H29" i="8"/>
  <c r="AN43" i="6"/>
  <c r="AA11" i="6"/>
  <c r="AN39" i="6" s="1"/>
  <c r="AB11" i="6"/>
  <c r="AC11" i="6" s="1"/>
  <c r="AC13" i="6" s="1"/>
  <c r="G30" i="8"/>
  <c r="G32" i="8"/>
  <c r="G27" i="8"/>
  <c r="G22" i="8"/>
  <c r="G18" i="8"/>
  <c r="G29" i="8"/>
  <c r="G35" i="8"/>
  <c r="G36" i="8"/>
  <c r="G31" i="8"/>
  <c r="Z44" i="6"/>
  <c r="AA44" i="6" s="1"/>
  <c r="AA42" i="6" s="1"/>
  <c r="AB42" i="6" s="1"/>
  <c r="AD42" i="6" s="1"/>
  <c r="AL43" i="6"/>
  <c r="AG44" i="6"/>
  <c r="AN41" i="6"/>
  <c r="AL41" i="6"/>
  <c r="AL39" i="6"/>
  <c r="AN42" i="6"/>
  <c r="AJ41" i="6"/>
  <c r="AN40" i="6"/>
  <c r="J8" i="11" l="1"/>
  <c r="K4" i="11" s="1"/>
  <c r="H18" i="7"/>
  <c r="I18" i="7" s="1"/>
  <c r="H31" i="9" s="1"/>
  <c r="B44" i="7"/>
  <c r="H33" i="8"/>
  <c r="H32" i="8"/>
  <c r="N59" i="6"/>
  <c r="N58" i="6"/>
  <c r="H9" i="7"/>
  <c r="I9" i="7" s="1"/>
  <c r="H22" i="9" s="1"/>
  <c r="H36" i="8"/>
  <c r="H17" i="7"/>
  <c r="I17" i="7" s="1"/>
  <c r="H30" i="9" s="1"/>
  <c r="H14" i="7"/>
  <c r="M45" i="6"/>
  <c r="I20" i="7"/>
  <c r="H33" i="9" s="1"/>
  <c r="G33" i="9"/>
  <c r="H35" i="8"/>
  <c r="I36" i="6"/>
  <c r="K31" i="6" s="1"/>
  <c r="H19" i="8"/>
  <c r="G7" i="7"/>
  <c r="E11" i="6" s="1"/>
  <c r="H27" i="8"/>
  <c r="H30" i="8"/>
  <c r="AA41" i="6"/>
  <c r="AB40" i="6" s="1"/>
  <c r="AD40" i="6" s="1"/>
  <c r="AL44" i="6"/>
  <c r="AA43" i="6"/>
  <c r="AB43" i="6" s="1"/>
  <c r="AD43" i="6" s="1"/>
  <c r="AN44" i="6"/>
  <c r="AA40" i="6"/>
  <c r="K3" i="11" l="1"/>
  <c r="K6" i="11"/>
  <c r="K7" i="11"/>
  <c r="K5" i="11"/>
  <c r="G34" i="7"/>
  <c r="G31" i="9"/>
  <c r="G26" i="7"/>
  <c r="H35" i="9"/>
  <c r="G32" i="9"/>
  <c r="H6" i="7"/>
  <c r="E22" i="6" s="1"/>
  <c r="B43" i="7" s="1"/>
  <c r="H32" i="9"/>
  <c r="G22" i="9"/>
  <c r="G30" i="9"/>
  <c r="I14" i="7"/>
  <c r="H27" i="9" s="1"/>
  <c r="G27" i="9"/>
  <c r="N45" i="6"/>
  <c r="N46" i="6" s="1"/>
  <c r="M46" i="6"/>
  <c r="M67" i="6" s="1"/>
  <c r="I37" i="6"/>
  <c r="K32" i="6" s="1"/>
  <c r="G57" i="6"/>
  <c r="AD44" i="6"/>
  <c r="AI39" i="6" s="1"/>
  <c r="H37" i="8" l="1"/>
  <c r="G29" i="7"/>
  <c r="H39" i="8" s="1"/>
  <c r="N50" i="6"/>
  <c r="H7" i="7"/>
  <c r="H31" i="7" s="1"/>
  <c r="G19" i="9"/>
  <c r="G20" i="9" s="1"/>
  <c r="G41" i="9" s="1"/>
  <c r="I6" i="7"/>
  <c r="N49" i="6"/>
  <c r="J33" i="6"/>
  <c r="E10" i="7" s="1"/>
  <c r="J35" i="6"/>
  <c r="E11" i="7" s="1"/>
  <c r="H57" i="6"/>
  <c r="H58" i="6" s="1"/>
  <c r="AQ42" i="6" s="1"/>
  <c r="G58" i="6"/>
  <c r="G76" i="6" s="1"/>
  <c r="AI42" i="6"/>
  <c r="AJ42" i="6"/>
  <c r="AJ40" i="6"/>
  <c r="AI40" i="6"/>
  <c r="F7" i="7"/>
  <c r="F31" i="7" s="1"/>
  <c r="AJ39" i="6"/>
  <c r="G31" i="7" l="1"/>
  <c r="G36" i="7" s="1"/>
  <c r="G35" i="7"/>
  <c r="G38" i="7" s="1"/>
  <c r="H19" i="9"/>
  <c r="H20" i="9" s="1"/>
  <c r="J9" i="11"/>
  <c r="I7" i="7"/>
  <c r="AI43" i="6"/>
  <c r="AJ44" i="6" s="1"/>
  <c r="G17" i="8"/>
  <c r="G20" i="8" s="1"/>
  <c r="G42" i="8" s="1"/>
  <c r="AJ43" i="6"/>
  <c r="K51" i="10" l="1"/>
  <c r="K52" i="10" s="1"/>
  <c r="K50" i="10" s="1"/>
  <c r="K49" i="10" s="1"/>
  <c r="H34" i="7"/>
  <c r="L7" i="11"/>
  <c r="L3" i="11"/>
  <c r="L6" i="11"/>
  <c r="L4" i="11"/>
  <c r="L5" i="11"/>
  <c r="I10" i="7"/>
  <c r="I11" i="7"/>
  <c r="H24" i="9" s="1"/>
  <c r="H61" i="6"/>
  <c r="H17" i="8"/>
  <c r="H20" i="8" s="1"/>
  <c r="H42" i="8" s="1"/>
  <c r="I29" i="7" l="1"/>
  <c r="H37" i="9" s="1"/>
  <c r="H23" i="9"/>
  <c r="J34" i="6"/>
  <c r="E21" i="7" s="1"/>
  <c r="H71" i="6"/>
  <c r="G39" i="7"/>
  <c r="AQ38" i="6"/>
  <c r="K33" i="6" l="1"/>
  <c r="I12" i="7" s="1"/>
  <c r="K34" i="6"/>
  <c r="N52" i="6" l="1"/>
  <c r="I13" i="7"/>
  <c r="I2" i="6" s="1"/>
  <c r="E9" i="6" s="1"/>
  <c r="H25" i="9"/>
  <c r="H63" i="6"/>
  <c r="J32" i="6"/>
  <c r="E13" i="7" s="1"/>
  <c r="H62" i="6"/>
  <c r="J31" i="6"/>
  <c r="E12" i="7" s="1"/>
  <c r="E10" i="6" l="1"/>
  <c r="I27" i="7" s="1"/>
  <c r="H26" i="9"/>
  <c r="H75" i="6"/>
  <c r="H76" i="6" s="1"/>
  <c r="B42" i="7" l="1"/>
  <c r="H35" i="7"/>
  <c r="H38" i="7" s="1"/>
  <c r="I31" i="7"/>
  <c r="H36" i="7" s="1"/>
  <c r="H36" i="9"/>
  <c r="H41" i="9" s="1"/>
  <c r="I34" i="7"/>
  <c r="B45" i="7" s="1"/>
  <c r="AQ44" i="6"/>
  <c r="N51" i="6" s="1"/>
  <c r="H2" i="6" s="1"/>
  <c r="H39" i="7" l="1"/>
  <c r="I39" i="7" s="1"/>
  <c r="I38" i="7"/>
  <c r="N65" i="6"/>
  <c r="I35" i="7"/>
  <c r="H3" i="6" l="1"/>
  <c r="H6" i="6" s="1"/>
  <c r="H5" i="6" s="1"/>
  <c r="H4" i="6"/>
  <c r="N67" i="6" l="1"/>
  <c r="H37" i="7" l="1"/>
  <c r="I37" i="7"/>
  <c r="I36" i="7" l="1"/>
</calcChain>
</file>

<file path=xl/sharedStrings.xml><?xml version="1.0" encoding="utf-8"?>
<sst xmlns="http://schemas.openxmlformats.org/spreadsheetml/2006/main" count="451" uniqueCount="292">
  <si>
    <t>امتیاز</t>
  </si>
  <si>
    <t>مبلغ (ریال)</t>
  </si>
  <si>
    <t>الف) حقوق ثابت</t>
  </si>
  <si>
    <t>حق شغل</t>
  </si>
  <si>
    <t>فوق العاده مدیریت</t>
  </si>
  <si>
    <t>حق شاغل</t>
  </si>
  <si>
    <t>جمع</t>
  </si>
  <si>
    <t>ب ) تفاوت تطبیق</t>
  </si>
  <si>
    <t>پ ) فوق العاده شغل</t>
  </si>
  <si>
    <t>جمع :</t>
  </si>
  <si>
    <t>تفاوت تطبیق</t>
  </si>
  <si>
    <t>سایر</t>
  </si>
  <si>
    <t>بلی</t>
  </si>
  <si>
    <t>خیر</t>
  </si>
  <si>
    <t>حقوق و فوق العاده ها</t>
  </si>
  <si>
    <t>فوق العاده شغل</t>
  </si>
  <si>
    <t>فوق العاده ایثارگری</t>
  </si>
  <si>
    <t>خدمت در مناطق جنگی</t>
  </si>
  <si>
    <t>فوق العاده نشان های دولتی</t>
  </si>
  <si>
    <t>فوق العاده سختی شرایط محیط کار</t>
  </si>
  <si>
    <t>حق عائله مندی</t>
  </si>
  <si>
    <t>حق اولاد</t>
  </si>
  <si>
    <t>حقوق ثابت</t>
  </si>
  <si>
    <t>فوق العاده ویژه</t>
  </si>
  <si>
    <t>فوق العاده بدی آب و هوا</t>
  </si>
  <si>
    <t>فوق العاده مناطق کمتر توسعه یافته</t>
  </si>
  <si>
    <t>حکم کارگزینی کارمندان رسمی</t>
  </si>
  <si>
    <t xml:space="preserve">صادر کننده : </t>
  </si>
  <si>
    <t>نسخه :</t>
  </si>
  <si>
    <t>مدرک تحصیلی</t>
  </si>
  <si>
    <t>دیپلم</t>
  </si>
  <si>
    <t>فوق دیپلم</t>
  </si>
  <si>
    <t>لیسانس</t>
  </si>
  <si>
    <t>زیر دیپلم</t>
  </si>
  <si>
    <t>۱۱ - بالاترین مدرک و رشته تحصیلی :</t>
  </si>
  <si>
    <t>پس از وضع کسور قانونی از :                           فصل :                             ماده :                                   قابل پرداخت است.</t>
  </si>
  <si>
    <t>ت ) فوق العاده ویژه</t>
  </si>
  <si>
    <t>سازمان اداری و استخدامی کشور</t>
  </si>
  <si>
    <t>ع (۹۷/۷ ت ۱) ۱۰۳۰۸۰</t>
  </si>
  <si>
    <t>طبقه</t>
  </si>
  <si>
    <t>رتبه</t>
  </si>
  <si>
    <t>مقدماتی</t>
  </si>
  <si>
    <t>پایه</t>
  </si>
  <si>
    <t>ارشد</t>
  </si>
  <si>
    <t>خبره</t>
  </si>
  <si>
    <t>عالی</t>
  </si>
  <si>
    <t>فوق لیسانس</t>
  </si>
  <si>
    <t>دکتری</t>
  </si>
  <si>
    <t>تحصیلات</t>
  </si>
  <si>
    <t xml:space="preserve">طبقه </t>
  </si>
  <si>
    <t>حق شغل کارمند</t>
  </si>
  <si>
    <t>رتبه بندی فرهنگیان</t>
  </si>
  <si>
    <t>حق شغل فرهنگیان</t>
  </si>
  <si>
    <t>سایر اطلاعات</t>
  </si>
  <si>
    <t>امتیاز تحصیلات و مهارت</t>
  </si>
  <si>
    <t>ابتدایی</t>
  </si>
  <si>
    <t>متوسطه</t>
  </si>
  <si>
    <t>در چه مقطعی تدریس می کنید؟</t>
  </si>
  <si>
    <t>سنوات خدمت قابل قبول (سال)</t>
  </si>
  <si>
    <t>امتیاز سنوات و تجربه</t>
  </si>
  <si>
    <t>سنوات خدمت قابل قبول (ماه)</t>
  </si>
  <si>
    <t>کل ساعات آموزش ضمن خدمت مورد تایید</t>
  </si>
  <si>
    <t>امتیاز آموزش</t>
  </si>
  <si>
    <t>جمع امتیازات سنوات، تجربه و آموزش</t>
  </si>
  <si>
    <t>امتیاز مکتسبه</t>
  </si>
  <si>
    <t>مهارت و تحصیلات</t>
  </si>
  <si>
    <t>حقوق ثابت 98</t>
  </si>
  <si>
    <t>درصد کمتر توسعه یافته</t>
  </si>
  <si>
    <t>درصد بدی آب و هوا</t>
  </si>
  <si>
    <t>حقوق ثابت رتبه</t>
  </si>
  <si>
    <t>حقوق ثابت نهایی</t>
  </si>
  <si>
    <t>نمره ارزشیابی کسب شده در سال تحصیلی 98-97</t>
  </si>
  <si>
    <t>نمره ارزشیابی کسب شده در سال تحصیلی 97-96</t>
  </si>
  <si>
    <t>جهت ورود به صفحات مورد نظر (نتایج محاسبات) کلیک نمایید.</t>
  </si>
  <si>
    <t>جدول محاسبات</t>
  </si>
  <si>
    <t>ورود</t>
  </si>
  <si>
    <t>جدول زیر ویژه آن دسته از معلمانی است که رتبه شغلی شان مقدماتی می باشد.</t>
  </si>
  <si>
    <r>
      <t xml:space="preserve">1۸ - وضعیت ایثارگری :           </t>
    </r>
    <r>
      <rPr>
        <sz val="12"/>
        <color theme="1"/>
        <rFont val="Arial"/>
        <family val="2"/>
      </rPr>
      <t>□</t>
    </r>
    <r>
      <rPr>
        <sz val="11"/>
        <color theme="1"/>
        <rFont val="Arial"/>
        <family val="2"/>
      </rPr>
      <t xml:space="preserve"> </t>
    </r>
    <r>
      <rPr>
        <sz val="11"/>
        <color theme="1"/>
        <rFont val="B Nazanin"/>
        <charset val="178"/>
      </rPr>
      <t xml:space="preserve">جانباز </t>
    </r>
    <r>
      <rPr>
        <sz val="11"/>
        <color theme="1"/>
        <rFont val="Arial"/>
        <family val="2"/>
      </rPr>
      <t xml:space="preserve">           </t>
    </r>
    <r>
      <rPr>
        <sz val="12"/>
        <color theme="1"/>
        <rFont val="Arial"/>
        <family val="2"/>
      </rPr>
      <t>□</t>
    </r>
    <r>
      <rPr>
        <sz val="11"/>
        <color theme="1"/>
        <rFont val="Arial"/>
        <family val="2"/>
      </rPr>
      <t xml:space="preserve"> </t>
    </r>
    <r>
      <rPr>
        <sz val="11"/>
        <color theme="1"/>
        <rFont val="B Nazanin"/>
        <charset val="178"/>
      </rPr>
      <t xml:space="preserve">رزمنده </t>
    </r>
    <r>
      <rPr>
        <sz val="11"/>
        <color theme="1"/>
        <rFont val="Arial"/>
        <family val="2"/>
      </rPr>
      <t xml:space="preserve">            </t>
    </r>
    <r>
      <rPr>
        <sz val="12"/>
        <color theme="1"/>
        <rFont val="Arial"/>
        <family val="2"/>
      </rPr>
      <t>□</t>
    </r>
    <r>
      <rPr>
        <sz val="11"/>
        <color theme="1"/>
        <rFont val="Arial"/>
        <family val="2"/>
      </rPr>
      <t xml:space="preserve"> </t>
    </r>
    <r>
      <rPr>
        <sz val="11"/>
        <color theme="1"/>
        <rFont val="B Nazanin"/>
        <charset val="178"/>
      </rPr>
      <t xml:space="preserve">آزاده  </t>
    </r>
    <r>
      <rPr>
        <sz val="11"/>
        <color theme="1"/>
        <rFont val="Arial"/>
        <family val="2"/>
      </rPr>
      <t xml:space="preserve">            </t>
    </r>
    <r>
      <rPr>
        <sz val="12"/>
        <color theme="1"/>
        <rFont val="Arial"/>
        <family val="2"/>
      </rPr>
      <t>□</t>
    </r>
    <r>
      <rPr>
        <sz val="11"/>
        <color theme="1"/>
        <rFont val="Arial"/>
        <family val="2"/>
      </rPr>
      <t xml:space="preserve"> </t>
    </r>
    <r>
      <rPr>
        <sz val="11"/>
        <color theme="1"/>
        <rFont val="B Nazanin"/>
        <charset val="178"/>
      </rPr>
      <t xml:space="preserve">شهید   </t>
    </r>
    <r>
      <rPr>
        <sz val="11"/>
        <color theme="1"/>
        <rFont val="Arial"/>
        <family val="2"/>
      </rPr>
      <t xml:space="preserve">         </t>
    </r>
    <r>
      <rPr>
        <sz val="12"/>
        <color theme="1"/>
        <rFont val="Arial"/>
        <family val="2"/>
      </rPr>
      <t>□</t>
    </r>
    <r>
      <rPr>
        <sz val="11"/>
        <color theme="1"/>
        <rFont val="Arial"/>
        <family val="2"/>
      </rPr>
      <t xml:space="preserve"> </t>
    </r>
    <r>
      <rPr>
        <sz val="11"/>
        <color theme="1"/>
        <rFont val="B Nazanin"/>
        <charset val="178"/>
      </rPr>
      <t>فرزند شهید</t>
    </r>
  </si>
  <si>
    <t>2۲ - حقوق ثابت و فوق العاده ها</t>
  </si>
  <si>
    <t xml:space="preserve">۲۵ - تاریخ صدور و شماره حکم :         تاریخ :               شماره :  </t>
  </si>
  <si>
    <t>2۶ -  نام و نام خانوادگی مقام مسئول :</t>
  </si>
  <si>
    <t>امضاء :</t>
  </si>
  <si>
    <t>* در سال ۱۳۸۸ با توجه به بند (۱۱) قانون بودجه سال ۱۳۸۸ کل کشور تفاوت تطبیق در حکم حقوق ثابت می باشد.</t>
  </si>
  <si>
    <t>** بر اساس بند ۷ فصل یکم عمل می شود.  *** بر اساس اجزاء ب و ج مرحله دوم بند ۸ فصل دوم عمل می شود.</t>
  </si>
  <si>
    <t xml:space="preserve">2 - نام                                   ۳ - نام خانوادگی :  </t>
  </si>
  <si>
    <t xml:space="preserve">1 - دستگاه اجرایی : </t>
  </si>
  <si>
    <t xml:space="preserve">۴ - نام پدر : </t>
  </si>
  <si>
    <t xml:space="preserve">۵ - شماره ملی کارمند : </t>
  </si>
  <si>
    <t xml:space="preserve">۶ - شماره کارمند : </t>
  </si>
  <si>
    <t xml:space="preserve">۷ - شماره شناسنامه :  </t>
  </si>
  <si>
    <t xml:space="preserve">محل صدور :       شهرستان : </t>
  </si>
  <si>
    <t xml:space="preserve">استان : </t>
  </si>
  <si>
    <t xml:space="preserve">8 - محل تولد : </t>
  </si>
  <si>
    <t xml:space="preserve">9 - تاریخ تولد : </t>
  </si>
  <si>
    <r>
      <t xml:space="preserve">۱۰ - جنسیت : </t>
    </r>
    <r>
      <rPr>
        <b/>
        <sz val="11"/>
        <color theme="1"/>
        <rFont val="B Nazanin"/>
        <charset val="178"/>
      </rPr>
      <t xml:space="preserve"> </t>
    </r>
    <r>
      <rPr>
        <b/>
        <sz val="14"/>
        <color theme="1"/>
        <rFont val="B Nazanin"/>
        <charset val="178"/>
      </rPr>
      <t>□</t>
    </r>
    <r>
      <rPr>
        <b/>
        <sz val="11"/>
        <color theme="1"/>
        <rFont val="B Nazanin"/>
        <charset val="178"/>
      </rPr>
      <t xml:space="preserve"> </t>
    </r>
    <r>
      <rPr>
        <sz val="11"/>
        <color theme="1"/>
        <rFont val="B Nazanin"/>
        <charset val="178"/>
      </rPr>
      <t>زن</t>
    </r>
    <r>
      <rPr>
        <b/>
        <sz val="11"/>
        <color theme="1"/>
        <rFont val="B Nazanin"/>
        <charset val="178"/>
      </rPr>
      <t xml:space="preserve"> </t>
    </r>
    <r>
      <rPr>
        <b/>
        <sz val="14"/>
        <color theme="1"/>
        <rFont val="B Nazanin"/>
        <charset val="178"/>
      </rPr>
      <t>□</t>
    </r>
    <r>
      <rPr>
        <b/>
        <sz val="11"/>
        <color theme="1"/>
        <rFont val="B Nazanin"/>
        <charset val="178"/>
      </rPr>
      <t xml:space="preserve"> </t>
    </r>
    <r>
      <rPr>
        <sz val="11"/>
        <color theme="1"/>
        <rFont val="B Nazanin"/>
        <charset val="178"/>
      </rPr>
      <t>مرد</t>
    </r>
  </si>
  <si>
    <t xml:space="preserve">مدرک : </t>
  </si>
  <si>
    <t xml:space="preserve">رشته: </t>
  </si>
  <si>
    <t xml:space="preserve">1۲ - عنوان پست سازمانی : </t>
  </si>
  <si>
    <t xml:space="preserve">شماره پست : </t>
  </si>
  <si>
    <t xml:space="preserve">شناسه یکتای پست سازمانی : </t>
  </si>
  <si>
    <t xml:space="preserve">شناسه یکتای واحد سازمانی : </t>
  </si>
  <si>
    <t xml:space="preserve">۱۳ - واحد سازمانی : </t>
  </si>
  <si>
    <t xml:space="preserve">۱۴ - عنوان شغل : </t>
  </si>
  <si>
    <r>
      <t xml:space="preserve">طبقه : </t>
    </r>
    <r>
      <rPr>
        <sz val="11"/>
        <color theme="1"/>
        <rFont val="B Nazanin"/>
        <charset val="178"/>
      </rPr>
      <t xml:space="preserve"> </t>
    </r>
  </si>
  <si>
    <t xml:space="preserve">رتبه : </t>
  </si>
  <si>
    <t xml:space="preserve">۱۵ - سابقه خدمت قابل قبول : </t>
  </si>
  <si>
    <t xml:space="preserve">۱۶ - سابقه تجربی قابل قبول : </t>
  </si>
  <si>
    <r>
      <t xml:space="preserve">1۷ - محل خدمت :                     دهستان :                     بخش :                      شهرستان :      </t>
    </r>
    <r>
      <rPr>
        <b/>
        <sz val="11"/>
        <color theme="1"/>
        <rFont val="B Nazanin"/>
        <charset val="178"/>
      </rPr>
      <t xml:space="preserve">  </t>
    </r>
    <r>
      <rPr>
        <sz val="11"/>
        <color theme="1"/>
        <rFont val="B Nazanin"/>
        <charset val="178"/>
      </rPr>
      <t xml:space="preserve">                    استان : </t>
    </r>
  </si>
  <si>
    <r>
      <t xml:space="preserve">۱۹- وضعیت تاهل :  </t>
    </r>
    <r>
      <rPr>
        <sz val="14"/>
        <color theme="1"/>
        <rFont val="B Nazanin"/>
        <charset val="178"/>
      </rPr>
      <t>□</t>
    </r>
    <r>
      <rPr>
        <sz val="11"/>
        <color theme="1"/>
        <rFont val="B Nazanin"/>
        <charset val="178"/>
      </rPr>
      <t xml:space="preserve"> مجرد   □ متاهل</t>
    </r>
  </si>
  <si>
    <t xml:space="preserve">۲۰ - تعداد فرزند : </t>
  </si>
  <si>
    <r>
      <t xml:space="preserve">2۱- شرح حکم : </t>
    </r>
    <r>
      <rPr>
        <b/>
        <sz val="11"/>
        <color theme="1"/>
        <rFont val="B Nazanin"/>
        <charset val="178"/>
      </rPr>
      <t xml:space="preserve"> </t>
    </r>
  </si>
  <si>
    <t>۲۳ - حقوق و فوق العاده های مندرج در حکم جمعا به مبلغ :                                           ریال</t>
  </si>
  <si>
    <t xml:space="preserve">2۴ - تاریخ اجرای حکم :    </t>
  </si>
  <si>
    <t xml:space="preserve">عنوان پست : </t>
  </si>
  <si>
    <t>جدول زیر ویژه آن دسته از معلمانی است که 6 ساعت تدریس هفتگی اضافی
داشته و مشمول دریافت فوق العاده ویژه می باشند.</t>
  </si>
  <si>
    <r>
      <t xml:space="preserve">برای بازگشت به صفحه اصلی </t>
    </r>
    <r>
      <rPr>
        <b/>
        <u/>
        <sz val="14"/>
        <color rgb="FFFF0000"/>
        <rFont val="B Nazanin"/>
        <charset val="178"/>
      </rPr>
      <t>(کلیک کنید)</t>
    </r>
  </si>
  <si>
    <t>فوق العاده ایثارگری قانون جامع</t>
  </si>
  <si>
    <t>تفاوت بند (ی) و تفاوت جزء (1) بند (الف) نیز مشمول افزایش امتیاز باشند؟</t>
  </si>
  <si>
    <t>شمول یا عدم شمول بندهای جدول ذیل در فصل دهم قانون مدیریت خدمات کشوری</t>
  </si>
  <si>
    <t>درصد فوق العاده ویژه</t>
  </si>
  <si>
    <t>جمع ایتمهای مشمول فوق العاده ویژه</t>
  </si>
  <si>
    <t>رند بند ی</t>
  </si>
  <si>
    <t>رند جز ۱ بند الف</t>
  </si>
  <si>
    <t>نوبت کاری</t>
  </si>
  <si>
    <t>درصد نوبت کاری</t>
  </si>
  <si>
    <t>درصد افزایش</t>
  </si>
  <si>
    <t>نرخ اضافه کار (ریال)</t>
  </si>
  <si>
    <t>جمع تمامی آیتم های حقوق (ریال)</t>
  </si>
  <si>
    <t>نرخ ماموریت روزانه به همراه بیتوته (ریال)</t>
  </si>
  <si>
    <t>نرخ ماموریت روزانه بدون بیتوته (ریال)</t>
  </si>
  <si>
    <t>میزان افزایش حقوق (ریال)</t>
  </si>
  <si>
    <t>موضوع</t>
  </si>
  <si>
    <t>جدول مربوط به نتایج محاسبات با توجه به اطلاعات وارد شده در کاربرگ ورود اطلاعات</t>
  </si>
  <si>
    <t>درصد افزایش امتیازات (از ۱ تا ۵۰ عددی وارد نمایید)</t>
  </si>
  <si>
    <t>درصد مورد انتظار افزایش امتیازات در دستگاه محل خدمت  شما</t>
  </si>
  <si>
    <t>ضریب تعدیل سال ۹۹</t>
  </si>
  <si>
    <t>محاسبه حقوق و مزایای کارکنان دولت در سال ۹۸</t>
  </si>
  <si>
    <t>کارشناس</t>
  </si>
  <si>
    <t>به استناد تصویب نامه شماره 8724/ت56485ه مورخ 98/01/31 هیات محترم وزیران</t>
  </si>
  <si>
    <t>توسعه یافته</t>
  </si>
  <si>
    <t>بدی آب و هوا</t>
  </si>
  <si>
    <t>ویژه</t>
  </si>
  <si>
    <t>رئیس اداره</t>
  </si>
  <si>
    <r>
      <t xml:space="preserve">لطفا با دقت کامل، با توجه به آخرین حکم کارگزینی سال 97 خود تنها در خانه های </t>
    </r>
    <r>
      <rPr>
        <b/>
        <sz val="11"/>
        <color rgb="FFFFFF00"/>
        <rFont val="B Roya"/>
        <charset val="178"/>
      </rPr>
      <t>زرد رنگ</t>
    </r>
    <r>
      <rPr>
        <b/>
        <sz val="11"/>
        <color theme="1"/>
        <rFont val="B Roya"/>
        <charset val="178"/>
      </rPr>
      <t xml:space="preserve"> جداول زیر ورود اطلاعات نمایید</t>
    </r>
  </si>
  <si>
    <t>مدیر</t>
  </si>
  <si>
    <t>ضریب حقوق سال 98 (ریال)</t>
  </si>
  <si>
    <t>مشمول ماده ۵۱ قانون جامع ایثارگران</t>
  </si>
  <si>
    <t>فوق لیسانس و دکتری حرفه ای</t>
  </si>
  <si>
    <t>75 شغل</t>
  </si>
  <si>
    <t>دکتری تخصصی PHD</t>
  </si>
  <si>
    <t>سایر فوق العاده ها</t>
  </si>
  <si>
    <t>75 شغل و مدیریت</t>
  </si>
  <si>
    <t>شاغل اولیه 98</t>
  </si>
  <si>
    <t>آموزش</t>
  </si>
  <si>
    <t>جمع شاغل سال 98</t>
  </si>
  <si>
    <t>افزایش امتیاز</t>
  </si>
  <si>
    <t>درصد</t>
  </si>
  <si>
    <t>فوق العاده نوبت کاری</t>
  </si>
  <si>
    <t>جهت محاسبه بند ۷ مصوبه، تمامی آیتم های حقوقی به عنوان حقوق و مزایای مستمر سال 97 و ۹۸ لحاظ گردند؟</t>
  </si>
  <si>
    <t>امتیاز حق شاغل سال 98</t>
  </si>
  <si>
    <t>امتیاز حق شاغل حکم سال 99</t>
  </si>
  <si>
    <t>-</t>
  </si>
  <si>
    <t>ضریب پلکانی سال ۹۹</t>
  </si>
  <si>
    <t>اعمال ضریب سنواتی سال ۹۹
و امتیاز حق شاغل ۹۹</t>
  </si>
  <si>
    <t>جمع حقوق و مزایای مشمول کسور بازنشستگی (ریال)</t>
  </si>
  <si>
    <t>فوق‌العاده مدیریت نیز در محاسبه سقف 75% حق شاغل لحاظ گردد؟</t>
  </si>
  <si>
    <t>جمع حقوق و مزایای سال ۹۸ به میلیون ریال</t>
  </si>
  <si>
    <t>فرمول ضریب تعدیل سال ۹۹</t>
  </si>
  <si>
    <t>درصد ضریب تعدیل در سال ۹۹ از صفر تا چه درصدی باشد؟</t>
  </si>
  <si>
    <t>درصد افزایش امتیازات فصل دهم قانون مدیریت خدمات کشوری در سازمان شما</t>
  </si>
  <si>
    <t>کاربرگ ورود اطلاعات</t>
  </si>
  <si>
    <t>وضعیت استخدامی (قراردادی / پیمانی / رسمی)</t>
  </si>
  <si>
    <t>قراردادی</t>
  </si>
  <si>
    <t>پیمانی</t>
  </si>
  <si>
    <t>رسمی</t>
  </si>
  <si>
    <t>امتیاز سرپرستی</t>
  </si>
  <si>
    <t>جزء مقامات سیاسی (موضوع ماده ۷۱ قانون مدیریت) هستید؟</t>
  </si>
  <si>
    <t>حق شغل (امتیاز)</t>
  </si>
  <si>
    <t>فوق العاده مدیریت (امتیاز)</t>
  </si>
  <si>
    <t>حق شاغل (امتیاز)</t>
  </si>
  <si>
    <t>فوق العاده شغل (امتیاز)</t>
  </si>
  <si>
    <t>فوق العاده ایثارگری (امتیاز)</t>
  </si>
  <si>
    <t>خدمت در مناطق جنگی (امتیاز)</t>
  </si>
  <si>
    <t>فوق العاده نشان های دولتی (امتیاز)</t>
  </si>
  <si>
    <t>فوق العاده سختی شرایط محیط کار (امتیاز)</t>
  </si>
  <si>
    <t>حق عائله مندی (امتیاز)</t>
  </si>
  <si>
    <t>حق اولاد (امتیاز)</t>
  </si>
  <si>
    <t>تفاوت بند (ی) تبصره (12) ق ب 98  (امتیاز)</t>
  </si>
  <si>
    <t>تفاوت جزء (1) بند (الف) تبصره (12) ق ب 97 (امتیاز)</t>
  </si>
  <si>
    <t>تفاوت تطبیق (ریال)</t>
  </si>
  <si>
    <t>فوق العاده ویژه (ریال)</t>
  </si>
  <si>
    <t>فوق العاده مناطق کمتر توسعه یافته (ریال)</t>
  </si>
  <si>
    <t>فوق العاده بدی آب و هوا (ریال)</t>
  </si>
  <si>
    <t>نوبت کاری (ریال)</t>
  </si>
  <si>
    <t>سایر (ریال)</t>
  </si>
  <si>
    <t>نکات قابل توجه :</t>
  </si>
  <si>
    <t>حق شاغل 1400</t>
  </si>
  <si>
    <t>حداقل حقوق سال 1399</t>
  </si>
  <si>
    <t>حداقل حقوق سال 1400</t>
  </si>
  <si>
    <t>جدول زیر مربوط به مشمولین ماده ۵۱ قانون جامع خدمات رسانی به ایثارگران است.</t>
  </si>
  <si>
    <t>ج ) فوق العاده مناطق کمتر توسعه یافته</t>
  </si>
  <si>
    <t>چ ) فوق العاده بدی آب و هوا</t>
  </si>
  <si>
    <t>ح ) فوق العاده ایثارگری</t>
  </si>
  <si>
    <t>خ ) فوق العاده ایثارگری قانون جامع</t>
  </si>
  <si>
    <t>د ) خدمت در مناطق جنگی</t>
  </si>
  <si>
    <t>ذ) فوق العاده نشان های دولتی</t>
  </si>
  <si>
    <t>ر ) فوق العاده سختی شرایط محیط کار</t>
  </si>
  <si>
    <t>ز ) حق عائله مندی</t>
  </si>
  <si>
    <t>س ) حق اولاد</t>
  </si>
  <si>
    <t>ش ) نوبت کاری</t>
  </si>
  <si>
    <t xml:space="preserve">ط ) تفاوت بند (ی) تبصره (12) ق ب 98 </t>
  </si>
  <si>
    <t>ظ ) تفاوت جزء (1) بند (الف) تبصره (12) ق ب 97</t>
  </si>
  <si>
    <t>ص ) تفاوت تطبیق موضوع جزء (۱) بند (الف) تبصره ۱۲</t>
  </si>
  <si>
    <t>درصد فوق العاده جذب هیات امناء</t>
  </si>
  <si>
    <t>فوق العاده جذب هیأت امناء</t>
  </si>
  <si>
    <t>ث ) فوق العاده جذب هیأت امناء</t>
  </si>
  <si>
    <t>جمع ایتمهای مشمول فوق العاده جذب هیأت امناء</t>
  </si>
  <si>
    <t>کمتر از 35 میلیون</t>
  </si>
  <si>
    <t>بیشتر از 25 میلیون</t>
  </si>
  <si>
    <t>جمع کمتر از 35 میلیون</t>
  </si>
  <si>
    <t>تفاضل بیش از 25 میلیون</t>
  </si>
  <si>
    <t>محاسبه مفدار بیشتر از 25</t>
  </si>
  <si>
    <t>بند جدید</t>
  </si>
  <si>
    <t>فوق العاده جذب هیأت امناء (ریال)</t>
  </si>
  <si>
    <t>وب سایت تخصصی اداری و استخدامی شناسنامه قانون</t>
  </si>
  <si>
    <t>تبصره ۱۲</t>
  </si>
  <si>
    <t>الف ـ</t>
  </si>
  <si>
    <t>۱- ضریب حقوق گروه‌های مختلف حقوق‌بگیر در ‌دستگاه‌های اجرائی موضوع ماده (۲۹) قانون برنامه ششم توسعه و همچنین نیروهای مسلح، وزارت اطلاعات و سازمان انرژی اتمی (به استثنای مشمولان قانون کار جمهوری اسلامی ایران) از قبیل کارکنان کشوری و لشکری، اعضای هیأت علمی دانشگاهها و مؤسسات آموزش عالی و پژوهشی و قضات که توسط دولت تعیین می‌گردد و همچنین افزایش حقوق بازنشستگان، وظیفه‌بگیران و مشترکان صندوق‌های بازنشستگی به نحوی اعمال گردد که در نهایت به‌میزان بیست و پنج درصد (۲۵%) براساس آخرین حکم کارگزینی سال ۱۳۹۹ افزایش یابد مشروط بر آنکه میزان افزایش حقوق هیچکس نسبت به سال ۱۳۹۹ از بیست و پنج میلیون (۲۵.۰۰۰.۰۰۰) ریال تجاوز نکند. تفاوت تطبیق موضوع ماده (۷۸) قانون مدیریت خدمات کشوری در حکم حقوق، بدون تغییر باقی می‌ماند.</t>
  </si>
  <si>
    <t>۲- در سال ۱۴۰۰ در کلیه ‌دستگاه‌های اجرائی موضوع ماده (۲۹) قانون برنامه ششم توسعه و همچنین نیروهای مسلح، وزارت اطلاعات و سازمان انرژی اتمی (به‌استثنای مشمولان قانون کار جمهوری اسلامی ایران)، حداقل حقوق و مزایای مستمر شاغلان مشمول قانون مدیریت خدمات کشوری و حداقل حقوق سایر حقوق بگیران، حداقل حقوق بازنشستگان و وظیفه‌بگیران مشمول صندوق‌ بازنشستگی کشوری و سازمان تأمین اجتماعی نیروهای مسلح و سایر صندوق‌های وابسته به ‌دستگاه‌های اجرائی و مستمری‌ها و سایر حمایت‌های متناسب با آنها، معادل افزایش ضریب ریالی افزایش می‌یابد.</t>
  </si>
  <si>
    <t>۳- پس از اعمال افزایش ضریب ریالی حقوق برای گروههای مختلف حقوق‌بگیر موضوع جزء (۱) این بند و معادل افزایش ضریب ریالی برای افزایش حقوق بازنشستگان و وظیفه بگیران، مجموع مبلغ مندرج در حکم کارگزینی برای کارکنان رسمی و پیمانی و مبلغ قرارداد منعقده ماهانه برای کارکنان قرارداد کارمعین (مشخص) و کارکنان طرح خدمت پزشکان و پیراپزشکان در وزارت بهداشت، درمان و آموزش پزشکی به نسبت مدت کارکرد و حکم حقوق بازنشستگان متناسب سنوات خدمت قابل قبول، از سی و پنج میلیون (۳۵.۰۰۰.۰۰۰) ریال کمتر نباشد.</t>
  </si>
  <si>
    <t>ض ) سایر</t>
  </si>
  <si>
    <t>تفاوت جزء (1) بند (الف) تبصره (12) قانون بودجه 97</t>
  </si>
  <si>
    <t>تفاوت بند (ی) تبصره (12) قانون بودجه 98</t>
  </si>
  <si>
    <t>اعمال ضریب حقوق سال 1400
و امتیاز حق شاغل سال 1400</t>
  </si>
  <si>
    <t>جهت انجام درست محاسبات، ابتدا وضعیت استخدامی خود را از کشوی مربوطه انتخاب کنید.</t>
  </si>
  <si>
    <t>لطفا به سوال زیر بصورت بلی یا خیر پاسخ دهید.</t>
  </si>
  <si>
    <t>سطح جایگاه (پست) سازمانی</t>
  </si>
  <si>
    <t>مشمول فوق العاده ماده ۵۱  قانون جامع ایثارگران هستید؟ (بلی - خیر)</t>
  </si>
  <si>
    <t>کمتر از 30 سال سابقه خدمت دارید؟ (بلی - خیر)</t>
  </si>
  <si>
    <t>در سال 1401 ازدواج کرده و مشمول عائله مندی هستید؟ (بلی - خیر)</t>
  </si>
  <si>
    <t>تعداد فرزند متولد سال 1401 (ویژه مشمولین حق اولاد)</t>
  </si>
  <si>
    <t>اجرای جزء (12) بند (الف) تبصره (12) قانون بودجه سال 1401 در حکم کارگزینی</t>
  </si>
  <si>
    <t>تجمیع تفاوت های جزء (1) بند (الف) 97 و تفاوت بند (ی) 98</t>
  </si>
  <si>
    <t>ط ) تجمیع تفاوت های جزء (1) بند (الف) 97 و بند (ی) 98</t>
  </si>
  <si>
    <t>تعداد فرزندان مشمول حق اولاد که درسال 1401 متولد شده اند</t>
  </si>
  <si>
    <t>تعداد فرزندان مشمول حق اولاد که درسال 1402 متولد شده اند</t>
  </si>
  <si>
    <t>قبل 1401</t>
  </si>
  <si>
    <t>ترمیم حقوق</t>
  </si>
  <si>
    <t>در صورتی که مشمول رتبه بندی معلمان هستید به سوال زیر پاسخ دهید</t>
  </si>
  <si>
    <t>شغل شاغل شغل 1401</t>
  </si>
  <si>
    <t>شغل شاغل شغل 1402</t>
  </si>
  <si>
    <t>ضریب حقوق سال 1402</t>
  </si>
  <si>
    <t>حکم کارگزینی سال 1402</t>
  </si>
  <si>
    <t>ص ) فوق العاده رتبه بندی</t>
  </si>
  <si>
    <t>ع) ترمیم حقوق</t>
  </si>
  <si>
    <t>غ) ترمیم حقوق</t>
  </si>
  <si>
    <t>ع ) فوق العاده رتبه بندی</t>
  </si>
  <si>
    <t>افزایش حقوق کارمندان رسمی، پیمانی و قرارداد انجام کار معین (مشخص) مشمول قانون مدیریت خدمات کشوری در سال 1403</t>
  </si>
  <si>
    <t>لطفاً با دقت، امتیازات را مطابق با آخرین وضعیت سال 1402 خود وارد نمایید.</t>
  </si>
  <si>
    <t>لطفاً با دقت، مبالغ را مطابق با آخرین وضعیت سال 1402 خود وارد نمایید.</t>
  </si>
  <si>
    <t>لطفا با دقت کامل و با توجه به آخرین حکم کارگزینی سال 1402، تنها در خانه های آبی رنگ جداول زیر ورود اطلاعات نمایید</t>
  </si>
  <si>
    <t>ساعات آموزش سال 1402</t>
  </si>
  <si>
    <t>وضعیت حکم کارگزینی (قرارداد)
در سال 1402</t>
  </si>
  <si>
    <t>وضعیت حکم کارگزینی (قرارداد)
سال 1403</t>
  </si>
  <si>
    <t>سال 1402</t>
  </si>
  <si>
    <t>سال 1403</t>
  </si>
  <si>
    <t>حکم کارگزینی سال 1403</t>
  </si>
  <si>
    <t>با استناد به بند (الف) تبصره (15) قانون بودجه سال 1403 کل کشور
(موضوع تعيين ضريب حقوق و ميزان افزايش  حقوق كاركنان در سال 1403)</t>
  </si>
  <si>
    <t>نتیجه نهایی رتبه بندی شما کدام است؟ (1 تا 5)</t>
  </si>
  <si>
    <t>تعداد فرزندان مشمول دریافت حق اولاد را بنویسید</t>
  </si>
  <si>
    <t>عائله</t>
  </si>
  <si>
    <t>اولاد</t>
  </si>
  <si>
    <t>تعداد اولاد</t>
  </si>
  <si>
    <t>مشمول عائله</t>
  </si>
  <si>
    <t>ضریب حقوق سال 1403</t>
  </si>
  <si>
    <t>تفاوت تطبیق موضوع جزء (۱) بند (الف) تبصره (۱۲) قانون بودجه سال 1402</t>
  </si>
  <si>
    <t>تفاوت تطبیق موضوع جزء (۱) بند (الف) تبصره (15) قانون بودجه سال 1403</t>
  </si>
  <si>
    <t>نسخه 1       1403/01/07</t>
  </si>
  <si>
    <t>اطلاعات جدول زیر جهت محاسبه امتیاز حق شاغل سال 1403 می باشد.</t>
  </si>
  <si>
    <t>فوق العاده تخصص ماده 217 کارکنان امور مالیاتی (امتیاز)</t>
  </si>
  <si>
    <t>فوق العاده تخصص ماده 217 کارکنان امور مالیاتی</t>
  </si>
  <si>
    <t>ک ) فوق العاده تخصص ماده 217 کارکنان امور مالیاتی</t>
  </si>
  <si>
    <t>فوق العاده رتبه بندی معلمان</t>
  </si>
  <si>
    <t>در صورتی که مشمول عائله مندی یا حق اولاد هستید به سوالات زیر پاسخ دهید</t>
  </si>
  <si>
    <t>تلگرام (Telegram)</t>
  </si>
  <si>
    <t xml:space="preserve"> بله (Bale)</t>
  </si>
  <si>
    <t>ایتا (Eitaa)</t>
  </si>
  <si>
    <t>ظ )تفاوت تطبیق موضوع جزء (2) بند (الف) تبصره (۱5) قانون بودجه سال ۱۴۰3)</t>
  </si>
  <si>
    <t>مشمول دریافت کمک هزینه عائله مندی هستید؟ (بلی - خیر)</t>
  </si>
  <si>
    <t>تهیه و تنظیم: صیاح الدین شهدی</t>
  </si>
  <si>
    <t>برای اطلاع از به‌روزرسانی‌های بعدی در کانال‌های اطلاع‌رسانی ما عضو شوید:</t>
  </si>
  <si>
    <t xml:space="preserve"> اینستاگرام (Instagram)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</si>
</sst>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3000401]0"/>
    <numFmt numFmtId="165" formatCode="0.0"/>
  </numFmts>
  <fonts count="64">
    <font>
      <sz val="11"/>
      <color theme="1"/>
      <name val="Calibri"/>
      <family val="2"/>
      <scheme val="minor"/>
    </font>
    <font>
      <b/>
      <sz val="11"/>
      <color theme="1"/>
      <name val="B Nazanin"/>
      <charset val="178"/>
    </font>
    <font>
      <sz val="11"/>
      <color theme="1"/>
      <name val="B Nazanin"/>
      <charset val="178"/>
    </font>
    <font>
      <sz val="12"/>
      <color theme="1"/>
      <name val="B Nazanin"/>
      <charset val="178"/>
    </font>
    <font>
      <sz val="10"/>
      <color theme="1"/>
      <name val="B Nazanin"/>
      <charset val="178"/>
    </font>
    <font>
      <sz val="14"/>
      <color theme="1"/>
      <name val="B Nazanin"/>
      <charset val="178"/>
    </font>
    <font>
      <sz val="8"/>
      <color theme="0"/>
      <name val="B Nazanin"/>
      <charset val="178"/>
    </font>
    <font>
      <u/>
      <sz val="11"/>
      <color theme="10"/>
      <name val="Calibri"/>
      <family val="2"/>
      <scheme val="minor"/>
    </font>
    <font>
      <b/>
      <sz val="11"/>
      <color theme="1"/>
      <name val="B Roya"/>
      <charset val="178"/>
    </font>
    <font>
      <b/>
      <sz val="11"/>
      <name val="B Roya"/>
      <charset val="178"/>
    </font>
    <font>
      <sz val="10"/>
      <color theme="1"/>
      <name val="B Roya"/>
      <charset val="178"/>
    </font>
    <font>
      <b/>
      <sz val="14"/>
      <color theme="1"/>
      <name val="B Nazanin"/>
      <charset val="178"/>
    </font>
    <font>
      <b/>
      <sz val="12"/>
      <color theme="1"/>
      <name val="B Nazanin"/>
      <charset val="178"/>
    </font>
    <font>
      <sz val="11"/>
      <color theme="1"/>
      <name val="Arial"/>
      <family val="2"/>
    </font>
    <font>
      <sz val="12"/>
      <color theme="1"/>
      <name val="Arial"/>
      <family val="2"/>
    </font>
    <font>
      <sz val="14"/>
      <color theme="0"/>
      <name val="B Nazanin"/>
      <charset val="178"/>
    </font>
    <font>
      <sz val="14"/>
      <name val="B Nazanin"/>
      <charset val="178"/>
    </font>
    <font>
      <sz val="14"/>
      <color rgb="FFFFFF00"/>
      <name val="B Nazanin"/>
      <charset val="178"/>
    </font>
    <font>
      <b/>
      <sz val="14"/>
      <name val="B Nazanin"/>
      <charset val="178"/>
    </font>
    <font>
      <b/>
      <sz val="11"/>
      <color theme="8" tint="-0.499984740745262"/>
      <name val="B Nazanin"/>
      <charset val="178"/>
    </font>
    <font>
      <b/>
      <sz val="16"/>
      <color theme="9" tint="-0.499984740745262"/>
      <name val="B Nazanin"/>
      <charset val="178"/>
    </font>
    <font>
      <b/>
      <sz val="14"/>
      <color rgb="FFFF0000"/>
      <name val="B Nazanin"/>
      <charset val="178"/>
    </font>
    <font>
      <u/>
      <sz val="11"/>
      <color theme="2" tint="-0.749992370372631"/>
      <name val="Calibri"/>
      <family val="2"/>
      <scheme val="minor"/>
    </font>
    <font>
      <u/>
      <sz val="12"/>
      <color theme="2" tint="-0.749992370372631"/>
      <name val="B Nazanin"/>
      <charset val="178"/>
    </font>
    <font>
      <b/>
      <u/>
      <sz val="14"/>
      <color rgb="FFFF0000"/>
      <name val="B Nazanin"/>
      <charset val="178"/>
    </font>
    <font>
      <b/>
      <sz val="12"/>
      <color theme="0"/>
      <name val="B Nazanin"/>
      <charset val="178"/>
    </font>
    <font>
      <b/>
      <sz val="14"/>
      <color theme="9" tint="-0.499984740745262"/>
      <name val="B Nazanin"/>
      <charset val="178"/>
    </font>
    <font>
      <u/>
      <sz val="12"/>
      <color theme="7" tint="-0.249977111117893"/>
      <name val="Calibri"/>
      <family val="2"/>
      <scheme val="minor"/>
    </font>
    <font>
      <b/>
      <sz val="12"/>
      <color theme="2" tint="-0.749992370372631"/>
      <name val="B Nazanin"/>
      <charset val="178"/>
    </font>
    <font>
      <u/>
      <sz val="10"/>
      <color theme="2" tint="-0.749992370372631"/>
      <name val="Calibri"/>
      <family val="2"/>
      <scheme val="minor"/>
    </font>
    <font>
      <b/>
      <sz val="12"/>
      <color rgb="FF7030A0"/>
      <name val="B Nazanin"/>
      <charset val="178"/>
    </font>
    <font>
      <u/>
      <sz val="10"/>
      <color theme="10"/>
      <name val="Calibri"/>
      <family val="2"/>
      <scheme val="minor"/>
    </font>
    <font>
      <u/>
      <sz val="10"/>
      <color theme="10"/>
      <name val="B Nazanin"/>
      <charset val="178"/>
    </font>
    <font>
      <sz val="11"/>
      <name val="Calibri"/>
      <family val="2"/>
      <scheme val="minor"/>
    </font>
    <font>
      <b/>
      <sz val="14"/>
      <color theme="8" tint="-0.499984740745262"/>
      <name val="B Nazanin"/>
      <charset val="178"/>
    </font>
    <font>
      <b/>
      <sz val="12"/>
      <name val="B Nazanin"/>
      <charset val="178"/>
    </font>
    <font>
      <b/>
      <sz val="16"/>
      <color theme="1"/>
      <name val="B Roya"/>
      <charset val="178"/>
    </font>
    <font>
      <sz val="11"/>
      <name val="B Nazanin"/>
      <charset val="178"/>
    </font>
    <font>
      <b/>
      <sz val="12"/>
      <color theme="1"/>
      <name val="B Roya"/>
      <charset val="178"/>
    </font>
    <font>
      <b/>
      <sz val="11"/>
      <color rgb="FFFFFF00"/>
      <name val="B Roya"/>
      <charset val="178"/>
    </font>
    <font>
      <b/>
      <u/>
      <sz val="12"/>
      <color theme="10"/>
      <name val="B Nazanin"/>
      <charset val="178"/>
    </font>
    <font>
      <b/>
      <sz val="11"/>
      <color theme="8" tint="-0.249977111117893"/>
      <name val="B Nazanin"/>
      <charset val="178"/>
    </font>
    <font>
      <b/>
      <sz val="10"/>
      <color theme="8" tint="-0.249977111117893"/>
      <name val="B Nazanin"/>
      <charset val="178"/>
    </font>
    <font>
      <b/>
      <sz val="11"/>
      <color theme="1"/>
      <name val="Calibri"/>
      <family val="2"/>
      <scheme val="minor"/>
    </font>
    <font>
      <b/>
      <sz val="11"/>
      <name val="B Mitra"/>
      <charset val="178"/>
    </font>
    <font>
      <sz val="11"/>
      <color rgb="FF002060"/>
      <name val="Calibri"/>
      <family val="2"/>
      <scheme val="minor"/>
    </font>
    <font>
      <b/>
      <sz val="10"/>
      <color theme="1"/>
      <name val="B Nazanin"/>
      <charset val="178"/>
    </font>
    <font>
      <b/>
      <sz val="14"/>
      <color theme="1"/>
      <name val="B Mitra"/>
      <charset val="178"/>
    </font>
    <font>
      <sz val="12"/>
      <color theme="8" tint="-0.499984740745262"/>
      <name val="B Nazanin"/>
      <charset val="178"/>
    </font>
    <font>
      <b/>
      <sz val="16"/>
      <color theme="8" tint="-0.499984740745262"/>
      <name val="B Roya"/>
      <charset val="178"/>
    </font>
    <font>
      <b/>
      <sz val="14"/>
      <color theme="8" tint="-0.499984740745262"/>
      <name val="B Mitra"/>
      <charset val="178"/>
    </font>
    <font>
      <b/>
      <sz val="14"/>
      <color rgb="FF333333"/>
      <name val="Calibri"/>
      <family val="2"/>
      <scheme val="minor"/>
    </font>
    <font>
      <sz val="10"/>
      <color rgb="FF333333"/>
      <name val="Calibri"/>
      <family val="2"/>
      <scheme val="minor"/>
    </font>
    <font>
      <b/>
      <sz val="16"/>
      <color theme="0"/>
      <name val="B Nazanin"/>
      <charset val="178"/>
    </font>
    <font>
      <sz val="12"/>
      <name val="B Nazanin"/>
      <charset val="178"/>
    </font>
    <font>
      <b/>
      <sz val="14"/>
      <color theme="0"/>
      <name val="B Nazanin"/>
      <charset val="178"/>
    </font>
    <font>
      <b/>
      <sz val="16"/>
      <color rgb="FFFF0000"/>
      <name val="Calibri"/>
      <family val="2"/>
      <scheme val="minor"/>
    </font>
    <font>
      <sz val="12"/>
      <color theme="1"/>
      <name val="B Yekan"/>
      <charset val="178"/>
    </font>
    <font>
      <sz val="14"/>
      <color theme="1"/>
      <name val="B Yekan"/>
      <charset val="178"/>
    </font>
    <font>
      <sz val="12"/>
      <name val="B Yekan"/>
      <charset val="178"/>
    </font>
    <font>
      <u/>
      <sz val="18"/>
      <color theme="10"/>
      <name val="B Mitra"/>
      <charset val="178"/>
    </font>
    <font>
      <sz val="14"/>
      <name val="B Mitra"/>
      <charset val="178"/>
    </font>
    <font>
      <b/>
      <sz val="16"/>
      <color theme="4" tint="-0.499984740745262"/>
      <name val="B Mitra"/>
      <charset val="178"/>
    </font>
    <font>
      <sz val="12"/>
      <color theme="4" tint="-0.499984740745262"/>
      <name val="B Mitra"/>
      <charset val="178"/>
    </font>
  </fonts>
  <fills count="3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7030A0"/>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8" tint="-0.499984740745262"/>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6" tint="0.79998168889431442"/>
        <bgColor indexed="64"/>
      </patternFill>
    </fill>
  </fills>
  <borders count="10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dotted">
        <color theme="8" tint="-0.249977111117893"/>
      </left>
      <right style="dotted">
        <color theme="8" tint="-0.249977111117893"/>
      </right>
      <top style="dotted">
        <color theme="8" tint="-0.249977111117893"/>
      </top>
      <bottom style="dotted">
        <color theme="8" tint="-0.249977111117893"/>
      </bottom>
      <diagonal/>
    </border>
    <border>
      <left/>
      <right style="thin">
        <color indexed="64"/>
      </right>
      <top style="dotted">
        <color indexed="64"/>
      </top>
      <bottom style="dotted">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dashed">
        <color indexed="64"/>
      </right>
      <top style="thin">
        <color indexed="64"/>
      </top>
      <bottom style="dotted">
        <color indexed="64"/>
      </bottom>
      <diagonal/>
    </border>
    <border>
      <left style="thin">
        <color indexed="64"/>
      </left>
      <right style="dashed">
        <color indexed="64"/>
      </right>
      <top style="dotted">
        <color indexed="64"/>
      </top>
      <bottom style="dotted">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right style="dashed">
        <color indexed="64"/>
      </right>
      <top style="thin">
        <color indexed="64"/>
      </top>
      <bottom style="dotted">
        <color indexed="64"/>
      </bottom>
      <diagonal/>
    </border>
    <border>
      <left/>
      <right style="dashed">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dashed">
        <color indexed="64"/>
      </right>
      <top style="dotted">
        <color indexed="64"/>
      </top>
      <bottom style="thin">
        <color indexed="64"/>
      </bottom>
      <diagonal/>
    </border>
    <border>
      <left/>
      <right/>
      <top style="dotted">
        <color theme="4" tint="-0.499984740745262"/>
      </top>
      <bottom/>
      <diagonal/>
    </border>
    <border>
      <left/>
      <right/>
      <top style="dotted">
        <color theme="4" tint="-0.499984740745262"/>
      </top>
      <bottom style="dotted">
        <color theme="4" tint="-0.499984740745262"/>
      </bottom>
      <diagonal/>
    </border>
    <border>
      <left/>
      <right style="dashDotDot">
        <color rgb="FF002060"/>
      </right>
      <top/>
      <bottom style="dashDotDot">
        <color rgb="FF002060"/>
      </bottom>
      <diagonal/>
    </border>
    <border>
      <left style="dashDotDot">
        <color rgb="FF002060"/>
      </left>
      <right/>
      <top/>
      <bottom style="dashDotDot">
        <color rgb="FF002060"/>
      </bottom>
      <diagonal/>
    </border>
    <border>
      <left/>
      <right style="dashDotDot">
        <color rgb="FF002060"/>
      </right>
      <top style="dashDotDot">
        <color rgb="FF002060"/>
      </top>
      <bottom style="dashDotDot">
        <color rgb="FF002060"/>
      </bottom>
      <diagonal/>
    </border>
    <border>
      <left style="dashDotDot">
        <color rgb="FF002060"/>
      </left>
      <right/>
      <top style="dashDotDot">
        <color rgb="FF002060"/>
      </top>
      <bottom style="dashDotDot">
        <color rgb="FF002060"/>
      </bottom>
      <diagonal/>
    </border>
    <border>
      <left/>
      <right style="dashDotDot">
        <color rgb="FF002060"/>
      </right>
      <top style="dashDotDot">
        <color rgb="FF002060"/>
      </top>
      <bottom/>
      <diagonal/>
    </border>
    <border>
      <left style="dashDotDot">
        <color rgb="FF002060"/>
      </left>
      <right/>
      <top style="dashDotDot">
        <color rgb="FF002060"/>
      </top>
      <bottom/>
      <diagonal/>
    </border>
    <border>
      <left/>
      <right style="thin">
        <color theme="1"/>
      </right>
      <top/>
      <bottom style="thin">
        <color theme="1"/>
      </bottom>
      <diagonal/>
    </border>
    <border>
      <left style="thin">
        <color theme="1"/>
      </left>
      <right/>
      <top/>
      <bottom style="thin">
        <color theme="1"/>
      </bottom>
      <diagonal/>
    </border>
    <border>
      <left/>
      <right style="mediumDashed">
        <color theme="1"/>
      </right>
      <top/>
      <bottom style="mediumDashed">
        <color theme="1"/>
      </bottom>
      <diagonal/>
    </border>
    <border>
      <left style="mediumDashed">
        <color theme="1"/>
      </left>
      <right/>
      <top/>
      <bottom style="mediumDashed">
        <color theme="1"/>
      </bottom>
      <diagonal/>
    </border>
    <border>
      <left/>
      <right style="mediumDashed">
        <color theme="1"/>
      </right>
      <top style="mediumDashed">
        <color theme="1"/>
      </top>
      <bottom style="mediumDashed">
        <color theme="1"/>
      </bottom>
      <diagonal/>
    </border>
    <border>
      <left style="mediumDashed">
        <color theme="1"/>
      </left>
      <right/>
      <top style="mediumDashed">
        <color theme="1"/>
      </top>
      <bottom style="mediumDashed">
        <color theme="1"/>
      </bottom>
      <diagonal/>
    </border>
    <border>
      <left/>
      <right style="mediumDashed">
        <color theme="1"/>
      </right>
      <top style="mediumDashed">
        <color theme="1"/>
      </top>
      <bottom/>
      <diagonal/>
    </border>
    <border>
      <left style="mediumDashed">
        <color theme="1"/>
      </left>
      <right/>
      <top style="mediumDashed">
        <color theme="1"/>
      </top>
      <bottom/>
      <diagonal/>
    </border>
    <border>
      <left/>
      <right style="mediumDashed">
        <color theme="1"/>
      </right>
      <top/>
      <bottom/>
      <diagonal/>
    </border>
    <border>
      <left style="mediumDashed">
        <color theme="1"/>
      </left>
      <right/>
      <top/>
      <bottom/>
      <diagonal/>
    </border>
    <border>
      <left/>
      <right style="mediumDashDot">
        <color theme="7" tint="-0.499984740745262"/>
      </right>
      <top/>
      <bottom style="mediumDashDot">
        <color theme="7" tint="-0.499984740745262"/>
      </bottom>
      <diagonal/>
    </border>
    <border>
      <left style="mediumDashDot">
        <color theme="7" tint="-0.499984740745262"/>
      </left>
      <right/>
      <top/>
      <bottom style="mediumDashDot">
        <color theme="7" tint="-0.499984740745262"/>
      </bottom>
      <diagonal/>
    </border>
    <border>
      <left/>
      <right style="mediumDashDot">
        <color theme="7" tint="-0.499984740745262"/>
      </right>
      <top style="mediumDashDot">
        <color theme="7" tint="-0.499984740745262"/>
      </top>
      <bottom style="mediumDashDot">
        <color theme="7" tint="-0.499984740745262"/>
      </bottom>
      <diagonal/>
    </border>
    <border>
      <left style="mediumDashDot">
        <color theme="7" tint="-0.499984740745262"/>
      </left>
      <right/>
      <top style="mediumDashDot">
        <color theme="7" tint="-0.499984740745262"/>
      </top>
      <bottom style="mediumDashDot">
        <color theme="7" tint="-0.499984740745262"/>
      </bottom>
      <diagonal/>
    </border>
    <border>
      <left/>
      <right style="mediumDashDot">
        <color theme="7" tint="-0.499984740745262"/>
      </right>
      <top style="mediumDashDot">
        <color theme="7" tint="-0.499984740745262"/>
      </top>
      <bottom/>
      <diagonal/>
    </border>
    <border>
      <left style="mediumDashDot">
        <color theme="7" tint="-0.499984740745262"/>
      </left>
      <right/>
      <top style="mediumDashDot">
        <color theme="7" tint="-0.499984740745262"/>
      </top>
      <bottom/>
      <diagonal/>
    </border>
  </borders>
  <cellStyleXfs count="2">
    <xf numFmtId="0" fontId="0" fillId="0" borderId="0"/>
    <xf numFmtId="0" fontId="7" fillId="0" borderId="0" applyNumberFormat="0" applyFill="0" applyBorder="0" applyAlignment="0" applyProtection="0"/>
  </cellStyleXfs>
  <cellXfs count="492">
    <xf numFmtId="0" fontId="0" fillId="0" borderId="0" xfId="0"/>
    <xf numFmtId="0" fontId="5" fillId="0" borderId="11" xfId="0" applyFont="1" applyBorder="1" applyAlignment="1" applyProtection="1">
      <alignment horizontal="center"/>
      <protection hidden="1"/>
    </xf>
    <xf numFmtId="0" fontId="5" fillId="11" borderId="12" xfId="0" applyFont="1" applyFill="1" applyBorder="1" applyAlignment="1" applyProtection="1">
      <alignment horizontal="center"/>
      <protection hidden="1"/>
    </xf>
    <xf numFmtId="0" fontId="5" fillId="0" borderId="7" xfId="0" applyFont="1" applyBorder="1" applyAlignment="1" applyProtection="1">
      <alignment horizontal="center"/>
      <protection hidden="1"/>
    </xf>
    <xf numFmtId="0" fontId="5" fillId="11" borderId="6" xfId="0" applyFont="1" applyFill="1" applyBorder="1" applyAlignment="1" applyProtection="1">
      <alignment horizontal="center"/>
      <protection hidden="1"/>
    </xf>
    <xf numFmtId="0" fontId="5" fillId="0" borderId="21" xfId="0" applyFont="1" applyBorder="1" applyAlignment="1" applyProtection="1">
      <alignment horizontal="center"/>
      <protection hidden="1"/>
    </xf>
    <xf numFmtId="0" fontId="5" fillId="11" borderId="37" xfId="0" applyFont="1" applyFill="1" applyBorder="1" applyAlignment="1" applyProtection="1">
      <alignment horizontal="center"/>
      <protection hidden="1"/>
    </xf>
    <xf numFmtId="164" fontId="5" fillId="0" borderId="7" xfId="0" applyNumberFormat="1" applyFont="1" applyBorder="1" applyAlignment="1" applyProtection="1">
      <alignment horizontal="center"/>
      <protection hidden="1"/>
    </xf>
    <xf numFmtId="164" fontId="5" fillId="0" borderId="21" xfId="0" applyNumberFormat="1" applyFont="1" applyBorder="1" applyAlignment="1" applyProtection="1">
      <alignment horizontal="center"/>
      <protection hidden="1"/>
    </xf>
    <xf numFmtId="164" fontId="5" fillId="0" borderId="8" xfId="0" applyNumberFormat="1" applyFont="1" applyBorder="1" applyAlignment="1" applyProtection="1">
      <alignment horizontal="center"/>
      <protection hidden="1"/>
    </xf>
    <xf numFmtId="0" fontId="5" fillId="0" borderId="2" xfId="0" applyFont="1" applyBorder="1" applyAlignment="1" applyProtection="1">
      <alignment horizontal="center"/>
      <protection hidden="1"/>
    </xf>
    <xf numFmtId="0" fontId="5" fillId="0" borderId="6" xfId="0" applyFont="1" applyBorder="1" applyAlignment="1" applyProtection="1">
      <alignment horizontal="center"/>
      <protection hidden="1"/>
    </xf>
    <xf numFmtId="0" fontId="5" fillId="0" borderId="3" xfId="0" applyFont="1" applyBorder="1" applyAlignment="1" applyProtection="1">
      <alignment horizontal="center"/>
      <protection hidden="1"/>
    </xf>
    <xf numFmtId="164" fontId="5" fillId="0" borderId="9" xfId="0" applyNumberFormat="1" applyFont="1" applyBorder="1" applyAlignment="1" applyProtection="1">
      <alignment horizontal="center"/>
      <protection hidden="1"/>
    </xf>
    <xf numFmtId="0" fontId="5" fillId="0" borderId="4" xfId="0" applyFont="1" applyBorder="1" applyAlignment="1" applyProtection="1">
      <alignment horizontal="center"/>
      <protection hidden="1"/>
    </xf>
    <xf numFmtId="9" fontId="5" fillId="0" borderId="7" xfId="0" applyNumberFormat="1" applyFont="1" applyBorder="1" applyAlignment="1" applyProtection="1">
      <alignment horizontal="center"/>
      <protection hidden="1"/>
    </xf>
    <xf numFmtId="1" fontId="5" fillId="0" borderId="6" xfId="0" applyNumberFormat="1" applyFont="1" applyBorder="1" applyAlignment="1" applyProtection="1">
      <alignment horizontal="center"/>
      <protection hidden="1"/>
    </xf>
    <xf numFmtId="9" fontId="5" fillId="0" borderId="21" xfId="0" applyNumberFormat="1" applyFont="1" applyBorder="1" applyAlignment="1" applyProtection="1">
      <alignment horizontal="center"/>
      <protection hidden="1"/>
    </xf>
    <xf numFmtId="1" fontId="5" fillId="0" borderId="37" xfId="0" applyNumberFormat="1" applyFont="1" applyBorder="1" applyAlignment="1" applyProtection="1">
      <alignment horizontal="center"/>
      <protection hidden="1"/>
    </xf>
    <xf numFmtId="1" fontId="5" fillId="3" borderId="15" xfId="0" applyNumberFormat="1" applyFont="1" applyFill="1" applyBorder="1" applyAlignment="1" applyProtection="1">
      <alignment horizontal="center"/>
      <protection hidden="1"/>
    </xf>
    <xf numFmtId="0" fontId="5" fillId="11" borderId="34" xfId="0" applyFont="1" applyFill="1" applyBorder="1" applyAlignment="1" applyProtection="1">
      <alignment horizontal="center"/>
      <protection hidden="1"/>
    </xf>
    <xf numFmtId="2" fontId="15" fillId="13" borderId="2" xfId="0" applyNumberFormat="1" applyFont="1" applyFill="1" applyBorder="1" applyAlignment="1" applyProtection="1">
      <alignment horizontal="center"/>
      <protection hidden="1"/>
    </xf>
    <xf numFmtId="0" fontId="16" fillId="0" borderId="6" xfId="0" applyFont="1" applyBorder="1" applyAlignment="1" applyProtection="1">
      <alignment horizontal="center"/>
      <protection hidden="1"/>
    </xf>
    <xf numFmtId="2" fontId="15" fillId="13" borderId="4" xfId="0" applyNumberFormat="1" applyFont="1" applyFill="1" applyBorder="1" applyAlignment="1" applyProtection="1">
      <alignment horizontal="center"/>
      <protection hidden="1"/>
    </xf>
    <xf numFmtId="0" fontId="16" fillId="0" borderId="40" xfId="0" applyFont="1" applyBorder="1" applyAlignment="1" applyProtection="1">
      <alignment horizontal="center"/>
      <protection hidden="1"/>
    </xf>
    <xf numFmtId="0" fontId="5" fillId="0" borderId="1"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5" fillId="14" borderId="15" xfId="0" applyFont="1" applyFill="1" applyBorder="1" applyAlignment="1" applyProtection="1">
      <alignment horizontal="center"/>
      <protection hidden="1"/>
    </xf>
    <xf numFmtId="164" fontId="5" fillId="0" borderId="5" xfId="0" applyNumberFormat="1" applyFont="1" applyBorder="1" applyAlignment="1" applyProtection="1">
      <alignment horizontal="center"/>
      <protection hidden="1"/>
    </xf>
    <xf numFmtId="0" fontId="5" fillId="16" borderId="1" xfId="0" applyFont="1" applyFill="1" applyBorder="1" applyAlignment="1" applyProtection="1">
      <alignment horizontal="center"/>
      <protection hidden="1"/>
    </xf>
    <xf numFmtId="0" fontId="5" fillId="16" borderId="8" xfId="0" applyFont="1" applyFill="1" applyBorder="1" applyAlignment="1" applyProtection="1">
      <alignment horizontal="center"/>
      <protection hidden="1"/>
    </xf>
    <xf numFmtId="0" fontId="5" fillId="16" borderId="2" xfId="0" applyFont="1" applyFill="1" applyBorder="1" applyAlignment="1" applyProtection="1">
      <alignment horizontal="center"/>
      <protection hidden="1"/>
    </xf>
    <xf numFmtId="0" fontId="17" fillId="17" borderId="15" xfId="0" applyFont="1" applyFill="1" applyBorder="1" applyAlignment="1" applyProtection="1">
      <alignment horizontal="center"/>
      <protection hidden="1"/>
    </xf>
    <xf numFmtId="164" fontId="5" fillId="0" borderId="1" xfId="0" applyNumberFormat="1" applyFont="1" applyBorder="1" applyAlignment="1" applyProtection="1">
      <alignment horizontal="center"/>
      <protection hidden="1"/>
    </xf>
    <xf numFmtId="164" fontId="5" fillId="0" borderId="2" xfId="0" applyNumberFormat="1" applyFont="1" applyBorder="1" applyAlignment="1" applyProtection="1">
      <alignment horizontal="center"/>
      <protection hidden="1"/>
    </xf>
    <xf numFmtId="164" fontId="5" fillId="0" borderId="6" xfId="0" applyNumberFormat="1" applyFont="1" applyBorder="1" applyAlignment="1" applyProtection="1">
      <alignment horizontal="center"/>
      <protection hidden="1"/>
    </xf>
    <xf numFmtId="164" fontId="5" fillId="0" borderId="39" xfId="0" applyNumberFormat="1" applyFont="1" applyBorder="1" applyAlignment="1" applyProtection="1">
      <alignment horizontal="center"/>
      <protection hidden="1"/>
    </xf>
    <xf numFmtId="164" fontId="5" fillId="0" borderId="37" xfId="0" applyNumberFormat="1" applyFont="1" applyBorder="1" applyAlignment="1" applyProtection="1">
      <alignment horizontal="center"/>
      <protection hidden="1"/>
    </xf>
    <xf numFmtId="164" fontId="18" fillId="3" borderId="13" xfId="0" applyNumberFormat="1" applyFont="1" applyFill="1" applyBorder="1" applyAlignment="1" applyProtection="1">
      <alignment horizontal="center"/>
      <protection hidden="1"/>
    </xf>
    <xf numFmtId="164" fontId="18" fillId="3" borderId="15" xfId="0" applyNumberFormat="1" applyFont="1" applyFill="1" applyBorder="1" applyAlignment="1" applyProtection="1">
      <alignment horizontal="center"/>
      <protection hidden="1"/>
    </xf>
    <xf numFmtId="164" fontId="18" fillId="3" borderId="13" xfId="0" applyNumberFormat="1" applyFont="1" applyFill="1" applyBorder="1" applyAlignment="1" applyProtection="1">
      <alignment horizontal="center" shrinkToFit="1"/>
      <protection hidden="1"/>
    </xf>
    <xf numFmtId="0" fontId="12" fillId="8" borderId="1" xfId="0" applyFont="1" applyFill="1" applyBorder="1" applyAlignment="1" applyProtection="1">
      <alignment horizontal="center" vertical="center" shrinkToFit="1" readingOrder="2"/>
      <protection hidden="1"/>
    </xf>
    <xf numFmtId="0" fontId="12" fillId="8" borderId="5" xfId="0" applyFont="1" applyFill="1" applyBorder="1" applyAlignment="1" applyProtection="1">
      <alignment horizontal="center" vertical="center" shrinkToFit="1" readingOrder="2"/>
      <protection hidden="1"/>
    </xf>
    <xf numFmtId="0" fontId="12" fillId="8" borderId="3" xfId="0" applyFont="1" applyFill="1" applyBorder="1" applyAlignment="1" applyProtection="1">
      <alignment horizontal="center" vertical="center" shrinkToFit="1" readingOrder="2"/>
      <protection hidden="1"/>
    </xf>
    <xf numFmtId="164" fontId="5" fillId="11" borderId="5" xfId="0" applyNumberFormat="1" applyFont="1" applyFill="1" applyBorder="1" applyAlignment="1" applyProtection="1">
      <alignment horizontal="center"/>
      <protection hidden="1"/>
    </xf>
    <xf numFmtId="164" fontId="5" fillId="11" borderId="7" xfId="0" applyNumberFormat="1" applyFont="1" applyFill="1" applyBorder="1" applyAlignment="1" applyProtection="1">
      <alignment horizontal="center"/>
      <protection hidden="1"/>
    </xf>
    <xf numFmtId="164" fontId="5" fillId="11" borderId="3" xfId="0" applyNumberFormat="1" applyFont="1" applyFill="1" applyBorder="1" applyAlignment="1" applyProtection="1">
      <alignment horizontal="center"/>
      <protection hidden="1"/>
    </xf>
    <xf numFmtId="164" fontId="5" fillId="11" borderId="9" xfId="0" applyNumberFormat="1" applyFont="1" applyFill="1" applyBorder="1" applyAlignment="1" applyProtection="1">
      <alignment horizontal="center"/>
      <protection hidden="1"/>
    </xf>
    <xf numFmtId="0" fontId="5" fillId="11" borderId="4" xfId="0" applyFont="1" applyFill="1" applyBorder="1" applyAlignment="1" applyProtection="1">
      <alignment horizontal="center"/>
      <protection hidden="1"/>
    </xf>
    <xf numFmtId="0" fontId="0" fillId="2" borderId="0" xfId="0" applyFill="1" applyProtection="1">
      <protection hidden="1"/>
    </xf>
    <xf numFmtId="0" fontId="10" fillId="2" borderId="0" xfId="0" applyFont="1" applyFill="1" applyAlignment="1" applyProtection="1">
      <alignment vertical="center" shrinkToFit="1" readingOrder="2"/>
      <protection hidden="1"/>
    </xf>
    <xf numFmtId="0" fontId="0" fillId="0" borderId="0" xfId="0" applyProtection="1">
      <protection hidden="1"/>
    </xf>
    <xf numFmtId="2" fontId="6" fillId="2" borderId="0" xfId="0" applyNumberFormat="1" applyFont="1" applyFill="1" applyAlignment="1" applyProtection="1">
      <alignment horizontal="right" vertical="center" shrinkToFit="1" readingOrder="2"/>
      <protection hidden="1"/>
    </xf>
    <xf numFmtId="0" fontId="2" fillId="2" borderId="22" xfId="0" applyFont="1" applyFill="1" applyBorder="1" applyAlignment="1" applyProtection="1">
      <alignment horizontal="left" vertical="center" shrinkToFit="1" readingOrder="2"/>
      <protection hidden="1"/>
    </xf>
    <xf numFmtId="0" fontId="1" fillId="9" borderId="7" xfId="0" applyFont="1" applyFill="1" applyBorder="1" applyAlignment="1" applyProtection="1">
      <alignment horizontal="center" vertical="center" shrinkToFit="1" readingOrder="2"/>
      <protection hidden="1"/>
    </xf>
    <xf numFmtId="0" fontId="1" fillId="9" borderId="6" xfId="0" applyFont="1" applyFill="1" applyBorder="1" applyAlignment="1" applyProtection="1">
      <alignment horizontal="center" vertical="center" shrinkToFit="1" readingOrder="2"/>
      <protection hidden="1"/>
    </xf>
    <xf numFmtId="2" fontId="2" fillId="2" borderId="57" xfId="0" applyNumberFormat="1" applyFont="1" applyFill="1" applyBorder="1" applyAlignment="1" applyProtection="1">
      <alignment vertical="top" wrapText="1" shrinkToFit="1" readingOrder="2"/>
      <protection hidden="1"/>
    </xf>
    <xf numFmtId="2" fontId="2" fillId="2" borderId="29" xfId="0" applyNumberFormat="1" applyFont="1" applyFill="1" applyBorder="1" applyAlignment="1" applyProtection="1">
      <alignment vertical="top" wrapText="1" shrinkToFit="1" readingOrder="2"/>
      <protection hidden="1"/>
    </xf>
    <xf numFmtId="1" fontId="12" fillId="2" borderId="7" xfId="0" applyNumberFormat="1" applyFont="1" applyFill="1" applyBorder="1" applyAlignment="1" applyProtection="1">
      <alignment horizontal="center" vertical="center" shrinkToFit="1" readingOrder="2"/>
      <protection hidden="1"/>
    </xf>
    <xf numFmtId="3" fontId="12" fillId="2" borderId="6" xfId="0" applyNumberFormat="1" applyFont="1" applyFill="1" applyBorder="1" applyAlignment="1" applyProtection="1">
      <alignment horizontal="center" vertical="center" shrinkToFit="1" readingOrder="2"/>
      <protection hidden="1"/>
    </xf>
    <xf numFmtId="1" fontId="12" fillId="15" borderId="7" xfId="0" applyNumberFormat="1" applyFont="1" applyFill="1" applyBorder="1" applyAlignment="1" applyProtection="1">
      <alignment horizontal="center" vertical="center" shrinkToFit="1" readingOrder="2"/>
      <protection hidden="1"/>
    </xf>
    <xf numFmtId="3" fontId="12" fillId="15" borderId="6" xfId="0" applyNumberFormat="1" applyFont="1" applyFill="1" applyBorder="1" applyAlignment="1" applyProtection="1">
      <alignment horizontal="center" vertical="center" shrinkToFit="1" readingOrder="2"/>
      <protection hidden="1"/>
    </xf>
    <xf numFmtId="2" fontId="2" fillId="2" borderId="56" xfId="0" applyNumberFormat="1" applyFont="1" applyFill="1" applyBorder="1" applyAlignment="1" applyProtection="1">
      <alignment vertical="top" wrapText="1" shrinkToFit="1" readingOrder="2"/>
      <protection hidden="1"/>
    </xf>
    <xf numFmtId="2" fontId="2" fillId="2" borderId="26" xfId="0" applyNumberFormat="1" applyFont="1" applyFill="1" applyBorder="1" applyAlignment="1" applyProtection="1">
      <alignment vertical="top" wrapText="1" shrinkToFit="1" readingOrder="2"/>
      <protection hidden="1"/>
    </xf>
    <xf numFmtId="1" fontId="12" fillId="9" borderId="7" xfId="0" applyNumberFormat="1" applyFont="1" applyFill="1" applyBorder="1" applyAlignment="1" applyProtection="1">
      <alignment horizontal="center" vertical="center" shrinkToFit="1" readingOrder="2"/>
      <protection hidden="1"/>
    </xf>
    <xf numFmtId="3" fontId="12" fillId="9" borderId="6" xfId="0" applyNumberFormat="1" applyFont="1" applyFill="1" applyBorder="1" applyAlignment="1" applyProtection="1">
      <alignment horizontal="center" vertical="center" shrinkToFit="1" readingOrder="2"/>
      <protection hidden="1"/>
    </xf>
    <xf numFmtId="0" fontId="1" fillId="2" borderId="42" xfId="0" applyFont="1" applyFill="1" applyBorder="1" applyAlignment="1" applyProtection="1">
      <alignment horizontal="right" vertical="center" shrinkToFit="1" readingOrder="1"/>
      <protection hidden="1"/>
    </xf>
    <xf numFmtId="0" fontId="2" fillId="2" borderId="0" xfId="0" applyFont="1" applyFill="1" applyAlignment="1" applyProtection="1">
      <alignment vertical="center" shrinkToFit="1" readingOrder="2"/>
      <protection hidden="1"/>
    </xf>
    <xf numFmtId="2" fontId="2" fillId="2" borderId="57" xfId="0" applyNumberFormat="1" applyFont="1" applyFill="1" applyBorder="1" applyAlignment="1" applyProtection="1">
      <alignment vertical="top" shrinkToFit="1" readingOrder="2"/>
      <protection hidden="1"/>
    </xf>
    <xf numFmtId="2" fontId="2" fillId="2" borderId="29" xfId="0" applyNumberFormat="1" applyFont="1" applyFill="1" applyBorder="1" applyAlignment="1" applyProtection="1">
      <alignment vertical="top" shrinkToFit="1" readingOrder="2"/>
      <protection hidden="1"/>
    </xf>
    <xf numFmtId="16" fontId="0" fillId="2" borderId="0" xfId="0" applyNumberFormat="1" applyFill="1" applyProtection="1">
      <protection hidden="1"/>
    </xf>
    <xf numFmtId="0" fontId="0" fillId="2" borderId="0" xfId="0" quotePrefix="1" applyFill="1" applyProtection="1">
      <protection hidden="1"/>
    </xf>
    <xf numFmtId="1" fontId="12" fillId="2" borderId="11" xfId="0" applyNumberFormat="1" applyFont="1" applyFill="1" applyBorder="1" applyAlignment="1" applyProtection="1">
      <alignment horizontal="center" vertical="center" shrinkToFit="1" readingOrder="2"/>
      <protection hidden="1"/>
    </xf>
    <xf numFmtId="3" fontId="12" fillId="2" borderId="12" xfId="0" applyNumberFormat="1" applyFont="1" applyFill="1" applyBorder="1" applyAlignment="1" applyProtection="1">
      <alignment horizontal="center" vertical="center" shrinkToFit="1" readingOrder="2"/>
      <protection hidden="1"/>
    </xf>
    <xf numFmtId="3" fontId="12" fillId="0" borderId="6" xfId="0" applyNumberFormat="1" applyFont="1" applyBorder="1" applyAlignment="1" applyProtection="1">
      <alignment horizontal="center" vertical="center" shrinkToFit="1" readingOrder="2"/>
      <protection hidden="1"/>
    </xf>
    <xf numFmtId="1" fontId="12" fillId="0" borderId="7" xfId="0" applyNumberFormat="1" applyFont="1" applyBorder="1" applyAlignment="1" applyProtection="1">
      <alignment horizontal="center" vertical="center" shrinkToFit="1" readingOrder="2"/>
      <protection hidden="1"/>
    </xf>
    <xf numFmtId="3" fontId="12" fillId="0" borderId="37" xfId="0" applyNumberFormat="1" applyFont="1" applyBorder="1" applyAlignment="1" applyProtection="1">
      <alignment horizontal="center" vertical="center" shrinkToFit="1" readingOrder="2"/>
      <protection hidden="1"/>
    </xf>
    <xf numFmtId="1" fontId="12" fillId="0" borderId="21" xfId="0" applyNumberFormat="1" applyFont="1" applyBorder="1" applyAlignment="1" applyProtection="1">
      <alignment horizontal="center" vertical="center" shrinkToFit="1" readingOrder="2"/>
      <protection hidden="1"/>
    </xf>
    <xf numFmtId="3" fontId="9" fillId="4" borderId="6" xfId="0" applyNumberFormat="1" applyFont="1" applyFill="1" applyBorder="1" applyAlignment="1" applyProtection="1">
      <alignment horizontal="center" vertical="center" shrinkToFit="1" readingOrder="2"/>
      <protection hidden="1"/>
    </xf>
    <xf numFmtId="0" fontId="2" fillId="0" borderId="0" xfId="0" applyFont="1" applyProtection="1">
      <protection hidden="1"/>
    </xf>
    <xf numFmtId="0" fontId="11" fillId="5" borderId="13" xfId="0" applyFont="1" applyFill="1" applyBorder="1" applyAlignment="1" applyProtection="1">
      <alignment horizontal="center" vertical="center" shrinkToFit="1" readingOrder="2"/>
      <protection hidden="1"/>
    </xf>
    <xf numFmtId="0" fontId="35" fillId="22" borderId="18" xfId="0" applyFont="1" applyFill="1" applyBorder="1" applyAlignment="1" applyProtection="1">
      <alignment horizontal="center" vertical="center" shrinkToFit="1" readingOrder="2"/>
      <protection hidden="1"/>
    </xf>
    <xf numFmtId="0" fontId="35" fillId="22" borderId="41" xfId="0" applyFont="1" applyFill="1" applyBorder="1" applyAlignment="1" applyProtection="1">
      <alignment horizontal="center" vertical="center" shrinkToFit="1" readingOrder="2"/>
      <protection hidden="1"/>
    </xf>
    <xf numFmtId="3" fontId="12" fillId="21" borderId="6" xfId="0" applyNumberFormat="1" applyFont="1" applyFill="1" applyBorder="1" applyAlignment="1" applyProtection="1">
      <alignment horizontal="center" vertical="center" shrinkToFit="1" readingOrder="2"/>
      <protection hidden="1"/>
    </xf>
    <xf numFmtId="1" fontId="12" fillId="21" borderId="7" xfId="0" applyNumberFormat="1" applyFont="1" applyFill="1" applyBorder="1" applyAlignment="1" applyProtection="1">
      <alignment horizontal="center" vertical="center" shrinkToFit="1" readingOrder="2"/>
      <protection hidden="1"/>
    </xf>
    <xf numFmtId="3" fontId="12" fillId="21" borderId="15" xfId="0" applyNumberFormat="1" applyFont="1" applyFill="1" applyBorder="1" applyAlignment="1" applyProtection="1">
      <alignment horizontal="center" vertical="center" shrinkToFit="1" readingOrder="2"/>
      <protection hidden="1"/>
    </xf>
    <xf numFmtId="1" fontId="12" fillId="21" borderId="14" xfId="0" applyNumberFormat="1" applyFont="1" applyFill="1" applyBorder="1" applyAlignment="1" applyProtection="1">
      <alignment horizontal="center" vertical="center" shrinkToFit="1" readingOrder="2"/>
      <protection hidden="1"/>
    </xf>
    <xf numFmtId="164" fontId="11" fillId="5" borderId="15" xfId="0" applyNumberFormat="1" applyFont="1" applyFill="1" applyBorder="1" applyAlignment="1" applyProtection="1">
      <alignment horizontal="center" vertical="center" shrinkToFit="1" readingOrder="2"/>
      <protection hidden="1"/>
    </xf>
    <xf numFmtId="0" fontId="11" fillId="5" borderId="7" xfId="0" applyFont="1" applyFill="1" applyBorder="1" applyAlignment="1" applyProtection="1">
      <alignment horizontal="center" vertical="center" shrinkToFit="1" readingOrder="2"/>
      <protection hidden="1"/>
    </xf>
    <xf numFmtId="0" fontId="2" fillId="2" borderId="0" xfId="0" applyFont="1" applyFill="1" applyAlignment="1" applyProtection="1">
      <alignment horizontal="center" vertical="center" readingOrder="2"/>
      <protection hidden="1"/>
    </xf>
    <xf numFmtId="0" fontId="37" fillId="0" borderId="0" xfId="0" applyFont="1" applyAlignment="1" applyProtection="1">
      <alignment horizontal="center" vertical="center" readingOrder="2"/>
      <protection hidden="1"/>
    </xf>
    <xf numFmtId="0" fontId="2" fillId="0" borderId="0" xfId="0" applyFont="1" applyAlignment="1" applyProtection="1">
      <alignment horizontal="center" vertical="center" readingOrder="2"/>
      <protection hidden="1"/>
    </xf>
    <xf numFmtId="0" fontId="2" fillId="0" borderId="0" xfId="0" applyFont="1" applyAlignment="1" applyProtection="1">
      <alignment horizontal="center" vertical="center" shrinkToFit="1" readingOrder="2"/>
      <protection hidden="1"/>
    </xf>
    <xf numFmtId="164" fontId="2" fillId="0" borderId="0" xfId="0" applyNumberFormat="1" applyFont="1" applyAlignment="1" applyProtection="1">
      <alignment horizontal="center" vertical="center" readingOrder="2"/>
      <protection hidden="1"/>
    </xf>
    <xf numFmtId="0" fontId="1" fillId="7" borderId="15" xfId="0" applyFont="1" applyFill="1" applyBorder="1" applyAlignment="1" applyProtection="1">
      <alignment horizontal="center" vertical="center" shrinkToFit="1" readingOrder="2"/>
      <protection hidden="1"/>
    </xf>
    <xf numFmtId="1" fontId="8" fillId="8" borderId="2" xfId="0" applyNumberFormat="1" applyFont="1" applyFill="1" applyBorder="1" applyAlignment="1" applyProtection="1">
      <alignment horizontal="center" vertical="center" readingOrder="2"/>
      <protection hidden="1"/>
    </xf>
    <xf numFmtId="0" fontId="1" fillId="2" borderId="0" xfId="0" applyFont="1" applyFill="1" applyAlignment="1" applyProtection="1">
      <alignment horizontal="center" vertical="center" shrinkToFit="1" readingOrder="2"/>
      <protection hidden="1"/>
    </xf>
    <xf numFmtId="0" fontId="1" fillId="7" borderId="17" xfId="0" applyFont="1" applyFill="1" applyBorder="1" applyAlignment="1" applyProtection="1">
      <alignment horizontal="center" vertical="center" shrinkToFit="1" readingOrder="2"/>
      <protection hidden="1"/>
    </xf>
    <xf numFmtId="0" fontId="1" fillId="7" borderId="32" xfId="0" applyFont="1" applyFill="1" applyBorder="1" applyAlignment="1" applyProtection="1">
      <alignment horizontal="center" vertical="center" shrinkToFit="1" readingOrder="2"/>
      <protection hidden="1"/>
    </xf>
    <xf numFmtId="1" fontId="1" fillId="8" borderId="4" xfId="0" applyNumberFormat="1" applyFont="1" applyFill="1" applyBorder="1" applyAlignment="1" applyProtection="1">
      <alignment horizontal="center" vertical="center" shrinkToFit="1" readingOrder="2"/>
      <protection hidden="1"/>
    </xf>
    <xf numFmtId="1" fontId="1" fillId="2" borderId="0" xfId="0" applyNumberFormat="1" applyFont="1" applyFill="1" applyAlignment="1" applyProtection="1">
      <alignment horizontal="center" vertical="center" shrinkToFit="1" readingOrder="2"/>
      <protection hidden="1"/>
    </xf>
    <xf numFmtId="0" fontId="1" fillId="2" borderId="0" xfId="0" applyFont="1" applyFill="1" applyAlignment="1" applyProtection="1">
      <alignment vertical="center" readingOrder="2"/>
      <protection hidden="1"/>
    </xf>
    <xf numFmtId="0" fontId="2" fillId="2" borderId="0" xfId="0" applyFont="1" applyFill="1" applyAlignment="1" applyProtection="1">
      <alignment vertical="center" readingOrder="2"/>
      <protection hidden="1"/>
    </xf>
    <xf numFmtId="3" fontId="2" fillId="2" borderId="0" xfId="0" applyNumberFormat="1" applyFont="1" applyFill="1" applyAlignment="1" applyProtection="1">
      <alignment horizontal="center" vertical="center" readingOrder="2"/>
      <protection hidden="1"/>
    </xf>
    <xf numFmtId="4" fontId="2" fillId="2" borderId="0" xfId="0" applyNumberFormat="1" applyFont="1" applyFill="1" applyAlignment="1" applyProtection="1">
      <alignment horizontal="center" vertical="center" readingOrder="2"/>
      <protection hidden="1"/>
    </xf>
    <xf numFmtId="0" fontId="1" fillId="8" borderId="52" xfId="0" applyFont="1" applyFill="1" applyBorder="1" applyAlignment="1" applyProtection="1">
      <alignment horizontal="center" vertical="center" shrinkToFit="1" readingOrder="2"/>
      <protection hidden="1"/>
    </xf>
    <xf numFmtId="0" fontId="1" fillId="8" borderId="46" xfId="0" applyFont="1" applyFill="1" applyBorder="1" applyAlignment="1" applyProtection="1">
      <alignment horizontal="center" vertical="center" shrinkToFit="1" readingOrder="2"/>
      <protection hidden="1"/>
    </xf>
    <xf numFmtId="0" fontId="1" fillId="0" borderId="0" xfId="0" applyFont="1" applyAlignment="1" applyProtection="1">
      <alignment horizontal="center" vertical="center" readingOrder="2"/>
      <protection hidden="1"/>
    </xf>
    <xf numFmtId="3" fontId="8" fillId="4" borderId="7" xfId="0" applyNumberFormat="1" applyFont="1" applyFill="1" applyBorder="1" applyAlignment="1" applyProtection="1">
      <alignment horizontal="center" vertical="center" shrinkToFit="1" readingOrder="2"/>
      <protection hidden="1"/>
    </xf>
    <xf numFmtId="3" fontId="8" fillId="4" borderId="9" xfId="0" applyNumberFormat="1" applyFont="1" applyFill="1" applyBorder="1" applyAlignment="1" applyProtection="1">
      <alignment horizontal="center" vertical="center" shrinkToFit="1" readingOrder="2"/>
      <protection hidden="1"/>
    </xf>
    <xf numFmtId="3" fontId="8" fillId="4" borderId="11" xfId="0" applyNumberFormat="1" applyFont="1" applyFill="1" applyBorder="1" applyAlignment="1" applyProtection="1">
      <alignment horizontal="center" vertical="center" shrinkToFit="1" readingOrder="2"/>
      <protection hidden="1"/>
    </xf>
    <xf numFmtId="3" fontId="12" fillId="20" borderId="14" xfId="0" applyNumberFormat="1" applyFont="1" applyFill="1" applyBorder="1" applyAlignment="1" applyProtection="1">
      <alignment horizontal="center" vertical="center" shrinkToFit="1" readingOrder="2"/>
      <protection hidden="1"/>
    </xf>
    <xf numFmtId="0" fontId="1" fillId="8" borderId="13" xfId="0" applyFont="1" applyFill="1" applyBorder="1" applyAlignment="1" applyProtection="1">
      <alignment horizontal="center" vertical="center" shrinkToFit="1" readingOrder="2"/>
      <protection hidden="1"/>
    </xf>
    <xf numFmtId="0" fontId="0" fillId="0" borderId="0" xfId="0" applyAlignment="1" applyProtection="1">
      <alignment horizontal="center" vertical="center"/>
      <protection hidden="1"/>
    </xf>
    <xf numFmtId="1" fontId="8" fillId="23" borderId="4" xfId="0" applyNumberFormat="1" applyFont="1" applyFill="1" applyBorder="1" applyAlignment="1" applyProtection="1">
      <alignment horizontal="center" vertical="center" readingOrder="2"/>
      <protection hidden="1"/>
    </xf>
    <xf numFmtId="0" fontId="1" fillId="0" borderId="7" xfId="0" applyFont="1" applyBorder="1" applyAlignment="1" applyProtection="1">
      <alignment horizontal="center" vertical="center" readingOrder="2"/>
      <protection hidden="1"/>
    </xf>
    <xf numFmtId="1" fontId="1" fillId="0" borderId="7" xfId="0" applyNumberFormat="1" applyFont="1" applyBorder="1" applyAlignment="1" applyProtection="1">
      <alignment horizontal="center" vertical="center" readingOrder="2"/>
      <protection hidden="1"/>
    </xf>
    <xf numFmtId="0" fontId="1" fillId="2" borderId="62" xfId="0" applyFont="1" applyFill="1" applyBorder="1" applyAlignment="1" applyProtection="1">
      <alignment vertical="center" shrinkToFit="1" readingOrder="2"/>
      <protection hidden="1"/>
    </xf>
    <xf numFmtId="0" fontId="45" fillId="2" borderId="0" xfId="0" applyFont="1" applyFill="1" applyProtection="1">
      <protection hidden="1"/>
    </xf>
    <xf numFmtId="0" fontId="2" fillId="2" borderId="0" xfId="0" applyFont="1" applyFill="1" applyAlignment="1" applyProtection="1">
      <alignment horizontal="center" vertical="center" shrinkToFit="1" readingOrder="2"/>
      <protection hidden="1"/>
    </xf>
    <xf numFmtId="0" fontId="1" fillId="8" borderId="1" xfId="0" applyFont="1" applyFill="1" applyBorder="1" applyAlignment="1" applyProtection="1">
      <alignment horizontal="center" vertical="center" shrinkToFit="1" readingOrder="2"/>
      <protection hidden="1"/>
    </xf>
    <xf numFmtId="0" fontId="1" fillId="8" borderId="8" xfId="0" applyFont="1" applyFill="1" applyBorder="1" applyAlignment="1" applyProtection="1">
      <alignment horizontal="center" vertical="center" shrinkToFit="1" readingOrder="2"/>
      <protection hidden="1"/>
    </xf>
    <xf numFmtId="0" fontId="1" fillId="8" borderId="3" xfId="0" applyFont="1" applyFill="1" applyBorder="1" applyAlignment="1" applyProtection="1">
      <alignment horizontal="center" vertical="center" shrinkToFit="1" readingOrder="2"/>
      <protection hidden="1"/>
    </xf>
    <xf numFmtId="0" fontId="1" fillId="8" borderId="9" xfId="0" applyFont="1" applyFill="1" applyBorder="1" applyAlignment="1" applyProtection="1">
      <alignment horizontal="center" vertical="center" shrinkToFit="1" readingOrder="2"/>
      <protection hidden="1"/>
    </xf>
    <xf numFmtId="0" fontId="1" fillId="8" borderId="5" xfId="0" applyFont="1" applyFill="1" applyBorder="1" applyAlignment="1" applyProtection="1">
      <alignment horizontal="center" vertical="center" shrinkToFit="1" readingOrder="2"/>
      <protection hidden="1"/>
    </xf>
    <xf numFmtId="0" fontId="1" fillId="8" borderId="7" xfId="0" applyFont="1" applyFill="1" applyBorder="1" applyAlignment="1" applyProtection="1">
      <alignment horizontal="center" vertical="center" shrinkToFit="1" readingOrder="2"/>
      <protection hidden="1"/>
    </xf>
    <xf numFmtId="0" fontId="0" fillId="0" borderId="7" xfId="0" applyBorder="1" applyAlignment="1" applyProtection="1">
      <alignment horizontal="center" vertical="center"/>
      <protection hidden="1"/>
    </xf>
    <xf numFmtId="164" fontId="0" fillId="0" borderId="0" xfId="0" applyNumberFormat="1" applyAlignment="1" applyProtection="1">
      <alignment horizontal="center" vertical="center"/>
      <protection hidden="1"/>
    </xf>
    <xf numFmtId="164" fontId="0" fillId="0" borderId="7" xfId="0" applyNumberFormat="1"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44" xfId="0" applyBorder="1" applyAlignment="1" applyProtection="1">
      <alignment horizontal="center" vertical="center"/>
      <protection hidden="1"/>
    </xf>
    <xf numFmtId="0" fontId="0" fillId="0" borderId="45" xfId="0" applyBorder="1" applyAlignment="1" applyProtection="1">
      <alignment horizontal="center" vertical="center"/>
      <protection hidden="1"/>
    </xf>
    <xf numFmtId="0" fontId="12" fillId="10" borderId="13" xfId="0" applyFont="1" applyFill="1" applyBorder="1" applyAlignment="1" applyProtection="1">
      <alignment horizontal="center" vertical="center" shrinkToFit="1"/>
      <protection hidden="1"/>
    </xf>
    <xf numFmtId="0" fontId="12" fillId="10" borderId="14" xfId="0" applyFont="1" applyFill="1" applyBorder="1" applyAlignment="1" applyProtection="1">
      <alignment horizontal="center" vertical="center" shrinkToFit="1"/>
      <protection hidden="1"/>
    </xf>
    <xf numFmtId="0" fontId="12" fillId="10" borderId="15" xfId="0" applyFont="1" applyFill="1" applyBorder="1" applyAlignment="1" applyProtection="1">
      <alignment horizontal="center" vertical="center" shrinkToFit="1"/>
      <protection hidden="1"/>
    </xf>
    <xf numFmtId="0" fontId="12" fillId="10" borderId="14" xfId="0" applyFont="1" applyFill="1" applyBorder="1" applyAlignment="1" applyProtection="1">
      <alignment vertical="center" shrinkToFit="1"/>
      <protection hidden="1"/>
    </xf>
    <xf numFmtId="0" fontId="0" fillId="0" borderId="10"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1" fontId="11" fillId="3" borderId="15" xfId="0" applyNumberFormat="1" applyFont="1" applyFill="1" applyBorder="1" applyAlignment="1" applyProtection="1">
      <alignment horizontal="center" vertical="center" shrinkToFit="1"/>
      <protection hidden="1"/>
    </xf>
    <xf numFmtId="0" fontId="0" fillId="0" borderId="39" xfId="0" applyBorder="1" applyAlignment="1" applyProtection="1">
      <alignment horizontal="center" vertical="center"/>
      <protection hidden="1"/>
    </xf>
    <xf numFmtId="164" fontId="12" fillId="3" borderId="2" xfId="0" applyNumberFormat="1" applyFont="1" applyFill="1" applyBorder="1" applyAlignment="1" applyProtection="1">
      <alignment horizontal="center" vertical="center" shrinkToFit="1" readingOrder="2"/>
      <protection hidden="1"/>
    </xf>
    <xf numFmtId="164" fontId="12" fillId="3" borderId="4" xfId="0" applyNumberFormat="1" applyFont="1" applyFill="1" applyBorder="1" applyAlignment="1" applyProtection="1">
      <alignment horizontal="center" vertical="center" shrinkToFit="1" readingOrder="2"/>
      <protection hidden="1"/>
    </xf>
    <xf numFmtId="164" fontId="12" fillId="3" borderId="6" xfId="0" applyNumberFormat="1" applyFont="1" applyFill="1" applyBorder="1" applyAlignment="1" applyProtection="1">
      <alignment horizontal="center" vertical="center" shrinkToFit="1" readingOrder="2"/>
      <protection hidden="1"/>
    </xf>
    <xf numFmtId="0" fontId="0" fillId="0" borderId="47" xfId="0" applyBorder="1" applyProtection="1">
      <protection hidden="1"/>
    </xf>
    <xf numFmtId="0" fontId="0" fillId="0" borderId="7" xfId="0" applyBorder="1" applyProtection="1">
      <protection hidden="1"/>
    </xf>
    <xf numFmtId="0" fontId="1" fillId="0" borderId="0" xfId="0" applyFont="1" applyAlignment="1" applyProtection="1">
      <alignment horizontal="center" vertical="center" shrinkToFit="1"/>
      <protection hidden="1"/>
    </xf>
    <xf numFmtId="3" fontId="1" fillId="0" borderId="0" xfId="0" applyNumberFormat="1" applyFont="1" applyAlignment="1" applyProtection="1">
      <alignment horizontal="center" vertical="center"/>
      <protection hidden="1"/>
    </xf>
    <xf numFmtId="0" fontId="1" fillId="3" borderId="13" xfId="0" applyFont="1" applyFill="1" applyBorder="1" applyAlignment="1" applyProtection="1">
      <alignment horizontal="center" vertical="center"/>
      <protection hidden="1"/>
    </xf>
    <xf numFmtId="0" fontId="1" fillId="3" borderId="15" xfId="0" applyFont="1" applyFill="1" applyBorder="1" applyAlignment="1" applyProtection="1">
      <alignment horizontal="center" vertical="center"/>
      <protection hidden="1"/>
    </xf>
    <xf numFmtId="0" fontId="1" fillId="3" borderId="47" xfId="0" applyFont="1" applyFill="1" applyBorder="1" applyAlignment="1" applyProtection="1">
      <alignment horizontal="center" vertical="center"/>
      <protection hidden="1"/>
    </xf>
    <xf numFmtId="0" fontId="1" fillId="3" borderId="13" xfId="0" applyFont="1" applyFill="1" applyBorder="1" applyAlignment="1" applyProtection="1">
      <alignment horizontal="center" vertical="center" shrinkToFit="1"/>
      <protection hidden="1"/>
    </xf>
    <xf numFmtId="3" fontId="1" fillId="18" borderId="15" xfId="0" applyNumberFormat="1" applyFont="1" applyFill="1" applyBorder="1" applyAlignment="1" applyProtection="1">
      <alignment horizontal="center" vertical="center"/>
      <protection hidden="1"/>
    </xf>
    <xf numFmtId="1" fontId="2" fillId="0" borderId="10" xfId="0" applyNumberFormat="1" applyFont="1" applyBorder="1" applyAlignment="1" applyProtection="1">
      <alignment horizontal="center" vertical="center"/>
      <protection hidden="1"/>
    </xf>
    <xf numFmtId="1" fontId="2" fillId="0" borderId="12" xfId="0" applyNumberFormat="1" applyFont="1" applyBorder="1" applyAlignment="1" applyProtection="1">
      <alignment horizontal="center" vertical="center"/>
      <protection hidden="1"/>
    </xf>
    <xf numFmtId="1" fontId="2" fillId="0" borderId="48" xfId="0" applyNumberFormat="1" applyFont="1" applyBorder="1" applyAlignment="1" applyProtection="1">
      <alignment horizontal="center" vertical="center"/>
      <protection hidden="1"/>
    </xf>
    <xf numFmtId="1" fontId="2" fillId="0" borderId="5" xfId="0" applyNumberFormat="1" applyFont="1" applyBorder="1" applyAlignment="1" applyProtection="1">
      <alignment horizontal="center" vertical="center"/>
      <protection hidden="1"/>
    </xf>
    <xf numFmtId="1" fontId="2" fillId="0" borderId="6" xfId="0" applyNumberFormat="1" applyFont="1" applyBorder="1" applyAlignment="1" applyProtection="1">
      <alignment horizontal="center" vertical="center"/>
      <protection hidden="1"/>
    </xf>
    <xf numFmtId="1" fontId="2" fillId="0" borderId="49" xfId="0" applyNumberFormat="1" applyFont="1" applyBorder="1" applyAlignment="1" applyProtection="1">
      <alignment horizontal="center" vertical="center"/>
      <protection hidden="1"/>
    </xf>
    <xf numFmtId="164" fontId="11" fillId="3" borderId="15" xfId="0" applyNumberFormat="1" applyFont="1" applyFill="1" applyBorder="1" applyAlignment="1" applyProtection="1">
      <alignment horizontal="center" vertical="center" shrinkToFit="1" readingOrder="2"/>
      <protection hidden="1"/>
    </xf>
    <xf numFmtId="1" fontId="1" fillId="6" borderId="17" xfId="0" applyNumberFormat="1" applyFont="1" applyFill="1" applyBorder="1" applyAlignment="1" applyProtection="1">
      <alignment horizontal="center" vertical="center"/>
      <protection hidden="1"/>
    </xf>
    <xf numFmtId="1" fontId="1" fillId="6" borderId="32" xfId="0" applyNumberFormat="1" applyFont="1" applyFill="1" applyBorder="1" applyAlignment="1" applyProtection="1">
      <alignment horizontal="center" vertical="center"/>
      <protection hidden="1"/>
    </xf>
    <xf numFmtId="0" fontId="5" fillId="0" borderId="46" xfId="0" applyFont="1" applyBorder="1" applyAlignment="1" applyProtection="1">
      <alignment horizontal="center"/>
      <protection hidden="1"/>
    </xf>
    <xf numFmtId="0" fontId="1" fillId="14" borderId="15" xfId="0" applyFont="1" applyFill="1" applyBorder="1" applyAlignment="1" applyProtection="1">
      <alignment horizontal="center" vertical="center"/>
      <protection hidden="1"/>
    </xf>
    <xf numFmtId="1" fontId="1" fillId="14" borderId="47" xfId="0" applyNumberFormat="1" applyFont="1" applyFill="1" applyBorder="1" applyAlignment="1" applyProtection="1">
      <alignment horizontal="center" vertical="center"/>
      <protection hidden="1"/>
    </xf>
    <xf numFmtId="1" fontId="1" fillId="3" borderId="2" xfId="0" applyNumberFormat="1" applyFont="1" applyFill="1" applyBorder="1" applyAlignment="1" applyProtection="1">
      <alignment horizontal="center" vertical="center" shrinkToFit="1" readingOrder="2"/>
      <protection hidden="1"/>
    </xf>
    <xf numFmtId="0" fontId="1" fillId="3" borderId="4" xfId="0" applyFont="1" applyFill="1" applyBorder="1" applyAlignment="1" applyProtection="1">
      <alignment horizontal="center" vertical="center" shrinkToFit="1" readingOrder="2"/>
      <protection hidden="1"/>
    </xf>
    <xf numFmtId="1" fontId="1" fillId="3" borderId="6" xfId="0" applyNumberFormat="1" applyFont="1" applyFill="1" applyBorder="1" applyAlignment="1" applyProtection="1">
      <alignment horizontal="center" vertical="center" shrinkToFit="1" readingOrder="2"/>
      <protection hidden="1"/>
    </xf>
    <xf numFmtId="3" fontId="1" fillId="3" borderId="2" xfId="0" applyNumberFormat="1" applyFont="1" applyFill="1" applyBorder="1" applyAlignment="1" applyProtection="1">
      <alignment horizontal="center" vertical="center" shrinkToFit="1" readingOrder="2"/>
      <protection hidden="1"/>
    </xf>
    <xf numFmtId="1" fontId="1" fillId="3" borderId="12" xfId="0" applyNumberFormat="1" applyFont="1" applyFill="1" applyBorder="1" applyAlignment="1" applyProtection="1">
      <alignment horizontal="center" vertical="center" shrinkToFit="1" readingOrder="2"/>
      <protection hidden="1"/>
    </xf>
    <xf numFmtId="3" fontId="1" fillId="3" borderId="4" xfId="0" applyNumberFormat="1" applyFont="1" applyFill="1" applyBorder="1" applyAlignment="1" applyProtection="1">
      <alignment horizontal="center" vertical="center" shrinkToFit="1" readingOrder="2"/>
      <protection hidden="1"/>
    </xf>
    <xf numFmtId="0" fontId="1" fillId="3" borderId="6" xfId="0" applyFont="1" applyFill="1" applyBorder="1" applyAlignment="1" applyProtection="1">
      <alignment horizontal="center" vertical="center" shrinkToFit="1" readingOrder="2"/>
      <protection hidden="1"/>
    </xf>
    <xf numFmtId="164" fontId="1" fillId="3" borderId="6" xfId="0" applyNumberFormat="1" applyFont="1" applyFill="1" applyBorder="1" applyAlignment="1" applyProtection="1">
      <alignment horizontal="center" vertical="center" shrinkToFit="1" readingOrder="2"/>
      <protection hidden="1"/>
    </xf>
    <xf numFmtId="1" fontId="1" fillId="3" borderId="4" xfId="0" applyNumberFormat="1" applyFont="1" applyFill="1" applyBorder="1" applyAlignment="1" applyProtection="1">
      <alignment horizontal="center" vertical="center" shrinkToFit="1" readingOrder="2"/>
      <protection hidden="1"/>
    </xf>
    <xf numFmtId="3" fontId="11" fillId="4" borderId="7" xfId="0" applyNumberFormat="1" applyFont="1" applyFill="1" applyBorder="1" applyAlignment="1" applyProtection="1">
      <alignment horizontal="center" vertical="center" shrinkToFit="1"/>
      <protection hidden="1"/>
    </xf>
    <xf numFmtId="1" fontId="11" fillId="4" borderId="7" xfId="0" applyNumberFormat="1" applyFont="1" applyFill="1" applyBorder="1" applyAlignment="1" applyProtection="1">
      <alignment horizontal="center" vertical="center" shrinkToFit="1"/>
      <protection hidden="1"/>
    </xf>
    <xf numFmtId="2" fontId="43" fillId="4" borderId="7" xfId="0" applyNumberFormat="1" applyFont="1" applyFill="1" applyBorder="1" applyAlignment="1" applyProtection="1">
      <alignment horizontal="center" vertical="center"/>
      <protection hidden="1"/>
    </xf>
    <xf numFmtId="2" fontId="43" fillId="0" borderId="7" xfId="0" applyNumberFormat="1" applyFont="1" applyBorder="1" applyAlignment="1" applyProtection="1">
      <alignment horizontal="center" vertical="center"/>
      <protection hidden="1"/>
    </xf>
    <xf numFmtId="3" fontId="12" fillId="0" borderId="7" xfId="0" applyNumberFormat="1" applyFont="1" applyBorder="1" applyAlignment="1" applyProtection="1">
      <alignment horizontal="center" vertical="center" shrinkToFit="1" readingOrder="2"/>
      <protection hidden="1"/>
    </xf>
    <xf numFmtId="0" fontId="1" fillId="0" borderId="0" xfId="0" applyFont="1" applyAlignment="1" applyProtection="1">
      <alignment vertical="center" shrinkToFit="1" readingOrder="2"/>
      <protection hidden="1"/>
    </xf>
    <xf numFmtId="0" fontId="2" fillId="0" borderId="0" xfId="0" applyFont="1" applyAlignment="1" applyProtection="1">
      <alignment vertical="center" readingOrder="2"/>
      <protection hidden="1"/>
    </xf>
    <xf numFmtId="0" fontId="33" fillId="0" borderId="0" xfId="0" applyFont="1" applyProtection="1">
      <protection hidden="1"/>
    </xf>
    <xf numFmtId="1" fontId="1" fillId="0" borderId="0" xfId="0" applyNumberFormat="1" applyFont="1" applyAlignment="1" applyProtection="1">
      <alignment horizontal="center" vertical="center" readingOrder="2"/>
      <protection hidden="1"/>
    </xf>
    <xf numFmtId="1" fontId="8" fillId="3" borderId="2" xfId="0" applyNumberFormat="1" applyFont="1" applyFill="1" applyBorder="1" applyAlignment="1" applyProtection="1">
      <alignment horizontal="center" vertical="center" readingOrder="2"/>
      <protection hidden="1"/>
    </xf>
    <xf numFmtId="3" fontId="12" fillId="0" borderId="7" xfId="0" applyNumberFormat="1" applyFont="1" applyBorder="1" applyAlignment="1" applyProtection="1">
      <alignment horizontal="center" vertical="center" readingOrder="2"/>
      <protection hidden="1"/>
    </xf>
    <xf numFmtId="0" fontId="3" fillId="0" borderId="0" xfId="0" applyFont="1" applyAlignment="1" applyProtection="1">
      <alignment shrinkToFit="1"/>
      <protection hidden="1"/>
    </xf>
    <xf numFmtId="0" fontId="2" fillId="0" borderId="0" xfId="0" applyFont="1" applyAlignment="1" applyProtection="1">
      <alignment shrinkToFit="1"/>
      <protection hidden="1"/>
    </xf>
    <xf numFmtId="0" fontId="26" fillId="0" borderId="0" xfId="0" applyFont="1" applyAlignment="1" applyProtection="1">
      <alignment vertical="center"/>
      <protection hidden="1"/>
    </xf>
    <xf numFmtId="0" fontId="27" fillId="0" borderId="0" xfId="1" applyFont="1" applyFill="1" applyBorder="1" applyAlignment="1" applyProtection="1">
      <alignment vertical="center"/>
      <protection hidden="1"/>
    </xf>
    <xf numFmtId="0" fontId="0" fillId="0" borderId="0" xfId="0" applyAlignment="1" applyProtection="1">
      <alignment shrinkToFit="1"/>
      <protection hidden="1"/>
    </xf>
    <xf numFmtId="0" fontId="3" fillId="22" borderId="7" xfId="0" applyFont="1" applyFill="1" applyBorder="1" applyAlignment="1" applyProtection="1">
      <alignment horizontal="center" vertical="center" shrinkToFit="1" readingOrder="2"/>
      <protection hidden="1"/>
    </xf>
    <xf numFmtId="2" fontId="2" fillId="2" borderId="0" xfId="0" applyNumberFormat="1" applyFont="1" applyFill="1" applyAlignment="1" applyProtection="1">
      <alignment vertical="top" shrinkToFit="1" readingOrder="2"/>
      <protection hidden="1"/>
    </xf>
    <xf numFmtId="3" fontId="12" fillId="0" borderId="7" xfId="0" applyNumberFormat="1" applyFont="1" applyBorder="1" applyAlignment="1" applyProtection="1">
      <alignment horizontal="center" vertical="center" shrinkToFit="1" readingOrder="1"/>
      <protection hidden="1"/>
    </xf>
    <xf numFmtId="164" fontId="11" fillId="11" borderId="7" xfId="0" applyNumberFormat="1" applyFont="1" applyFill="1" applyBorder="1" applyAlignment="1" applyProtection="1">
      <alignment horizontal="center" vertical="center" shrinkToFit="1"/>
      <protection locked="0" hidden="1"/>
    </xf>
    <xf numFmtId="1" fontId="1" fillId="11" borderId="7" xfId="0" applyNumberFormat="1" applyFont="1" applyFill="1" applyBorder="1" applyAlignment="1" applyProtection="1">
      <alignment horizontal="center" vertical="center" shrinkToFit="1" readingOrder="2"/>
      <protection locked="0" hidden="1"/>
    </xf>
    <xf numFmtId="164" fontId="1" fillId="11" borderId="7" xfId="0" applyNumberFormat="1" applyFont="1" applyFill="1" applyBorder="1" applyAlignment="1" applyProtection="1">
      <alignment horizontal="center" vertical="center" shrinkToFit="1" readingOrder="2"/>
      <protection locked="0" hidden="1"/>
    </xf>
    <xf numFmtId="3" fontId="11" fillId="11" borderId="7" xfId="0" applyNumberFormat="1" applyFont="1" applyFill="1" applyBorder="1" applyAlignment="1" applyProtection="1">
      <alignment horizontal="center" vertical="center" shrinkToFit="1"/>
      <protection locked="0" hidden="1"/>
    </xf>
    <xf numFmtId="0" fontId="47" fillId="3" borderId="7" xfId="0" applyFont="1" applyFill="1" applyBorder="1" applyAlignment="1" applyProtection="1">
      <alignment horizontal="center" vertical="center"/>
      <protection hidden="1"/>
    </xf>
    <xf numFmtId="0" fontId="37" fillId="7" borderId="7" xfId="0" applyFont="1" applyFill="1" applyBorder="1" applyAlignment="1" applyProtection="1">
      <alignment horizontal="center" vertical="center" shrinkToFit="1" readingOrder="2"/>
      <protection hidden="1"/>
    </xf>
    <xf numFmtId="1" fontId="44" fillId="5" borderId="7" xfId="0" applyNumberFormat="1" applyFont="1" applyFill="1" applyBorder="1" applyAlignment="1" applyProtection="1">
      <alignment horizontal="center" vertical="center" shrinkToFit="1" readingOrder="2"/>
      <protection hidden="1"/>
    </xf>
    <xf numFmtId="0" fontId="18" fillId="7" borderId="19" xfId="0" applyFont="1" applyFill="1" applyBorder="1" applyAlignment="1" applyProtection="1">
      <alignment horizontal="center" vertical="center" shrinkToFit="1" readingOrder="2"/>
      <protection hidden="1"/>
    </xf>
    <xf numFmtId="0" fontId="18" fillId="7" borderId="71" xfId="0" applyFont="1" applyFill="1" applyBorder="1" applyAlignment="1" applyProtection="1">
      <alignment horizontal="center" vertical="center" shrinkToFit="1" readingOrder="2"/>
      <protection hidden="1"/>
    </xf>
    <xf numFmtId="0" fontId="2" fillId="2" borderId="5" xfId="0" applyFont="1" applyFill="1" applyBorder="1" applyAlignment="1" applyProtection="1">
      <alignment horizontal="right" vertical="center" shrinkToFit="1" readingOrder="2"/>
      <protection hidden="1"/>
    </xf>
    <xf numFmtId="0" fontId="2" fillId="2" borderId="22" xfId="0" applyFont="1" applyFill="1" applyBorder="1" applyAlignment="1" applyProtection="1">
      <alignment horizontal="right" vertical="center" shrinkToFit="1" readingOrder="2"/>
      <protection hidden="1"/>
    </xf>
    <xf numFmtId="0" fontId="2" fillId="2" borderId="35" xfId="0" applyFont="1" applyFill="1" applyBorder="1" applyAlignment="1" applyProtection="1">
      <alignment horizontal="right" vertical="center" shrinkToFit="1" readingOrder="2"/>
      <protection hidden="1"/>
    </xf>
    <xf numFmtId="0" fontId="2" fillId="2" borderId="42" xfId="0" applyFont="1" applyFill="1" applyBorder="1" applyAlignment="1" applyProtection="1">
      <alignment horizontal="right" vertical="center" shrinkToFit="1" readingOrder="2"/>
      <protection hidden="1"/>
    </xf>
    <xf numFmtId="0" fontId="2" fillId="2" borderId="22" xfId="0" applyFont="1" applyFill="1" applyBorder="1" applyAlignment="1" applyProtection="1">
      <alignment vertical="center" shrinkToFit="1" readingOrder="2"/>
      <protection hidden="1"/>
    </xf>
    <xf numFmtId="0" fontId="2" fillId="2" borderId="57" xfId="0" applyFont="1" applyFill="1" applyBorder="1" applyAlignment="1" applyProtection="1">
      <alignment horizontal="right" vertical="center" shrinkToFit="1" readingOrder="2"/>
      <protection hidden="1"/>
    </xf>
    <xf numFmtId="0" fontId="2" fillId="2" borderId="56" xfId="0" applyFont="1" applyFill="1" applyBorder="1" applyAlignment="1" applyProtection="1">
      <alignment horizontal="right" vertical="center" shrinkToFit="1" readingOrder="2"/>
      <protection hidden="1"/>
    </xf>
    <xf numFmtId="0" fontId="51" fillId="0" borderId="7" xfId="0" applyFont="1" applyBorder="1" applyAlignment="1">
      <alignment horizontal="center" vertical="center" wrapText="1" readingOrder="2"/>
    </xf>
    <xf numFmtId="0" fontId="52" fillId="0" borderId="7" xfId="0" applyFont="1" applyBorder="1" applyAlignment="1">
      <alignment horizontal="center" vertical="center" wrapText="1" readingOrder="2"/>
    </xf>
    <xf numFmtId="3" fontId="11" fillId="8" borderId="64" xfId="0" applyNumberFormat="1" applyFont="1" applyFill="1" applyBorder="1" applyAlignment="1" applyProtection="1">
      <alignment horizontal="center" vertical="center" shrinkToFit="1" readingOrder="1"/>
      <protection hidden="1"/>
    </xf>
    <xf numFmtId="1" fontId="11" fillId="0" borderId="67" xfId="0" applyNumberFormat="1" applyFont="1" applyBorder="1" applyAlignment="1" applyProtection="1">
      <alignment horizontal="center" vertical="center" shrinkToFit="1" readingOrder="2"/>
      <protection hidden="1"/>
    </xf>
    <xf numFmtId="3" fontId="11" fillId="0" borderId="66" xfId="0" applyNumberFormat="1" applyFont="1" applyBorder="1" applyAlignment="1" applyProtection="1">
      <alignment horizontal="center" vertical="center" shrinkToFit="1" readingOrder="2"/>
      <protection hidden="1"/>
    </xf>
    <xf numFmtId="1" fontId="11" fillId="2" borderId="67" xfId="0" applyNumberFormat="1" applyFont="1" applyFill="1" applyBorder="1" applyAlignment="1" applyProtection="1">
      <alignment horizontal="center" vertical="center" shrinkToFit="1" readingOrder="2"/>
      <protection hidden="1"/>
    </xf>
    <xf numFmtId="3" fontId="11" fillId="2" borderId="66" xfId="0" applyNumberFormat="1" applyFont="1" applyFill="1" applyBorder="1" applyAlignment="1" applyProtection="1">
      <alignment horizontal="center" vertical="center" shrinkToFit="1" readingOrder="2"/>
      <protection hidden="1"/>
    </xf>
    <xf numFmtId="1" fontId="11" fillId="8" borderId="68" xfId="0" applyNumberFormat="1" applyFont="1" applyFill="1" applyBorder="1" applyAlignment="1" applyProtection="1">
      <alignment horizontal="center" vertical="center" shrinkToFit="1" readingOrder="2"/>
      <protection hidden="1"/>
    </xf>
    <xf numFmtId="3" fontId="11" fillId="8" borderId="64" xfId="0" applyNumberFormat="1" applyFont="1" applyFill="1" applyBorder="1" applyAlignment="1" applyProtection="1">
      <alignment horizontal="center" vertical="center" shrinkToFit="1" readingOrder="2"/>
      <protection hidden="1"/>
    </xf>
    <xf numFmtId="1" fontId="11" fillId="0" borderId="69" xfId="0" applyNumberFormat="1" applyFont="1" applyBorder="1" applyAlignment="1" applyProtection="1">
      <alignment horizontal="center" vertical="center" shrinkToFit="1" readingOrder="2"/>
      <protection hidden="1"/>
    </xf>
    <xf numFmtId="3" fontId="11" fillId="2" borderId="26" xfId="0" applyNumberFormat="1" applyFont="1" applyFill="1" applyBorder="1" applyAlignment="1" applyProtection="1">
      <alignment horizontal="center" vertical="center" shrinkToFit="1" readingOrder="2"/>
      <protection hidden="1"/>
    </xf>
    <xf numFmtId="1" fontId="11" fillId="6" borderId="65" xfId="0" applyNumberFormat="1" applyFont="1" applyFill="1" applyBorder="1" applyAlignment="1" applyProtection="1">
      <alignment horizontal="center" vertical="center" shrinkToFit="1" readingOrder="2"/>
      <protection hidden="1"/>
    </xf>
    <xf numFmtId="3" fontId="11" fillId="6" borderId="20" xfId="0" applyNumberFormat="1" applyFont="1" applyFill="1" applyBorder="1" applyAlignment="1" applyProtection="1">
      <alignment horizontal="center" vertical="center" shrinkToFit="1" readingOrder="2"/>
      <protection hidden="1"/>
    </xf>
    <xf numFmtId="1" fontId="11" fillId="0" borderId="70" xfId="0" applyNumberFormat="1" applyFont="1" applyBorder="1" applyAlignment="1" applyProtection="1">
      <alignment horizontal="center" vertical="center" shrinkToFit="1" readingOrder="2"/>
      <protection hidden="1"/>
    </xf>
    <xf numFmtId="3" fontId="11" fillId="0" borderId="29" xfId="0" applyNumberFormat="1" applyFont="1" applyBorder="1" applyAlignment="1" applyProtection="1">
      <alignment horizontal="center" vertical="center" shrinkToFit="1" readingOrder="2"/>
      <protection hidden="1"/>
    </xf>
    <xf numFmtId="1" fontId="11" fillId="0" borderId="68" xfId="0" applyNumberFormat="1" applyFont="1" applyBorder="1" applyAlignment="1" applyProtection="1">
      <alignment horizontal="center" vertical="center" shrinkToFit="1" readingOrder="2"/>
      <protection hidden="1"/>
    </xf>
    <xf numFmtId="3" fontId="11" fillId="0" borderId="64" xfId="0" applyNumberFormat="1" applyFont="1" applyBorder="1" applyAlignment="1" applyProtection="1">
      <alignment horizontal="center" vertical="center" shrinkToFit="1" readingOrder="2"/>
      <protection hidden="1"/>
    </xf>
    <xf numFmtId="1" fontId="11" fillId="7" borderId="65" xfId="0" applyNumberFormat="1" applyFont="1" applyFill="1" applyBorder="1" applyAlignment="1" applyProtection="1">
      <alignment horizontal="center" vertical="center" shrinkToFit="1" readingOrder="2"/>
      <protection hidden="1"/>
    </xf>
    <xf numFmtId="3" fontId="11" fillId="7" borderId="20" xfId="0" applyNumberFormat="1" applyFont="1" applyFill="1" applyBorder="1" applyAlignment="1" applyProtection="1">
      <alignment horizontal="center" vertical="center" shrinkToFit="1" readingOrder="2"/>
      <protection hidden="1"/>
    </xf>
    <xf numFmtId="3" fontId="12" fillId="2" borderId="6" xfId="0" applyNumberFormat="1" applyFont="1" applyFill="1" applyBorder="1" applyAlignment="1" applyProtection="1">
      <alignment horizontal="center" vertical="center" shrinkToFit="1" readingOrder="1"/>
      <protection hidden="1"/>
    </xf>
    <xf numFmtId="3" fontId="11" fillId="22" borderId="7" xfId="0" applyNumberFormat="1" applyFont="1" applyFill="1" applyBorder="1" applyAlignment="1" applyProtection="1">
      <alignment horizontal="center" vertical="center" shrinkToFit="1" readingOrder="2"/>
      <protection hidden="1"/>
    </xf>
    <xf numFmtId="1" fontId="0" fillId="0" borderId="0" xfId="0" applyNumberFormat="1" applyAlignment="1" applyProtection="1">
      <alignment horizontal="center" vertical="center"/>
      <protection hidden="1"/>
    </xf>
    <xf numFmtId="1" fontId="1" fillId="0" borderId="64" xfId="0" applyNumberFormat="1" applyFont="1" applyBorder="1" applyAlignment="1" applyProtection="1">
      <alignment horizontal="center" vertical="center" shrinkToFit="1" readingOrder="2"/>
      <protection hidden="1"/>
    </xf>
    <xf numFmtId="1" fontId="1" fillId="8" borderId="64" xfId="0" applyNumberFormat="1" applyFont="1" applyFill="1" applyBorder="1" applyAlignment="1" applyProtection="1">
      <alignment horizontal="center" vertical="center" shrinkToFit="1" readingOrder="2"/>
      <protection hidden="1"/>
    </xf>
    <xf numFmtId="0" fontId="1" fillId="0" borderId="64" xfId="0" applyFont="1" applyBorder="1" applyAlignment="1" applyProtection="1">
      <alignment horizontal="center" vertical="center" shrinkToFit="1" readingOrder="2"/>
      <protection hidden="1"/>
    </xf>
    <xf numFmtId="0" fontId="1" fillId="8" borderId="64" xfId="0" applyFont="1" applyFill="1" applyBorder="1" applyAlignment="1" applyProtection="1">
      <alignment horizontal="center" vertical="center" shrinkToFit="1" readingOrder="2"/>
      <protection hidden="1"/>
    </xf>
    <xf numFmtId="1" fontId="1" fillId="0" borderId="7" xfId="0" applyNumberFormat="1" applyFont="1" applyBorder="1" applyAlignment="1" applyProtection="1">
      <alignment horizontal="center" vertical="center"/>
      <protection hidden="1"/>
    </xf>
    <xf numFmtId="3" fontId="38" fillId="0" borderId="74" xfId="0" applyNumberFormat="1" applyFont="1" applyBorder="1" applyAlignment="1" applyProtection="1">
      <alignment horizontal="center" vertical="center" shrinkToFit="1" readingOrder="1"/>
      <protection hidden="1"/>
    </xf>
    <xf numFmtId="3" fontId="38" fillId="11" borderId="81" xfId="0" applyNumberFormat="1" applyFont="1" applyFill="1" applyBorder="1" applyAlignment="1" applyProtection="1">
      <alignment horizontal="center" vertical="center" shrinkToFit="1" readingOrder="1"/>
      <protection hidden="1"/>
    </xf>
    <xf numFmtId="0" fontId="55" fillId="25" borderId="7" xfId="0" applyFont="1" applyFill="1" applyBorder="1" applyAlignment="1" applyProtection="1">
      <alignment horizontal="center" vertical="center" shrinkToFit="1" readingOrder="2"/>
      <protection hidden="1"/>
    </xf>
    <xf numFmtId="0" fontId="0" fillId="0" borderId="7" xfId="0" applyBorder="1" applyAlignment="1">
      <alignment horizontal="center" vertical="center"/>
    </xf>
    <xf numFmtId="0" fontId="50" fillId="2" borderId="0" xfId="0" applyFont="1" applyFill="1" applyAlignment="1" applyProtection="1">
      <alignment horizontal="center" shrinkToFit="1"/>
      <protection hidden="1"/>
    </xf>
    <xf numFmtId="0" fontId="50" fillId="2" borderId="0" xfId="0" applyFont="1" applyFill="1" applyAlignment="1" applyProtection="1">
      <alignment horizontal="center" vertical="top" shrinkToFit="1"/>
      <protection hidden="1"/>
    </xf>
    <xf numFmtId="0" fontId="11" fillId="2" borderId="0" xfId="0" applyFont="1" applyFill="1" applyAlignment="1" applyProtection="1">
      <alignment vertical="center"/>
      <protection hidden="1"/>
    </xf>
    <xf numFmtId="0" fontId="1" fillId="2" borderId="0" xfId="0" applyFont="1" applyFill="1" applyProtection="1">
      <protection hidden="1"/>
    </xf>
    <xf numFmtId="1" fontId="11" fillId="3" borderId="68" xfId="0" applyNumberFormat="1" applyFont="1" applyFill="1" applyBorder="1" applyAlignment="1" applyProtection="1">
      <alignment horizontal="center" vertical="center" shrinkToFit="1" readingOrder="2"/>
      <protection hidden="1"/>
    </xf>
    <xf numFmtId="3" fontId="56" fillId="3" borderId="47" xfId="0" applyNumberFormat="1" applyFont="1" applyFill="1" applyBorder="1" applyAlignment="1" applyProtection="1">
      <alignment horizontal="center"/>
      <protection hidden="1"/>
    </xf>
    <xf numFmtId="165" fontId="38" fillId="0" borderId="64" xfId="0" applyNumberFormat="1" applyFont="1" applyBorder="1" applyAlignment="1" applyProtection="1">
      <alignment horizontal="center" vertical="center" shrinkToFit="1" readingOrder="1"/>
      <protection hidden="1"/>
    </xf>
    <xf numFmtId="165" fontId="38" fillId="11" borderId="72" xfId="0" applyNumberFormat="1" applyFont="1" applyFill="1" applyBorder="1" applyAlignment="1" applyProtection="1">
      <alignment horizontal="center" vertical="center" shrinkToFit="1" readingOrder="1"/>
      <protection hidden="1"/>
    </xf>
    <xf numFmtId="3" fontId="0" fillId="0" borderId="0" xfId="0" applyNumberFormat="1" applyAlignment="1" applyProtection="1">
      <alignment horizontal="center" vertical="center"/>
      <protection hidden="1"/>
    </xf>
    <xf numFmtId="0" fontId="3" fillId="0" borderId="7" xfId="0" applyFont="1" applyBorder="1" applyAlignment="1" applyProtection="1">
      <alignment horizontal="center" vertical="center" shrinkToFit="1" readingOrder="2"/>
      <protection hidden="1"/>
    </xf>
    <xf numFmtId="3" fontId="11" fillId="0" borderId="7" xfId="0" applyNumberFormat="1" applyFont="1" applyBorder="1" applyAlignment="1" applyProtection="1">
      <alignment horizontal="center" vertical="center" shrinkToFit="1"/>
      <protection locked="0" hidden="1"/>
    </xf>
    <xf numFmtId="1" fontId="0" fillId="0" borderId="0" xfId="0" applyNumberFormat="1"/>
    <xf numFmtId="3" fontId="0" fillId="0" borderId="0" xfId="0" applyNumberFormat="1"/>
    <xf numFmtId="0" fontId="1" fillId="0" borderId="0" xfId="0" applyFont="1" applyAlignment="1" applyProtection="1">
      <alignment vertical="center" shrinkToFit="1"/>
      <protection hidden="1"/>
    </xf>
    <xf numFmtId="0" fontId="3" fillId="27" borderId="7" xfId="0" applyFont="1" applyFill="1" applyBorder="1" applyAlignment="1" applyProtection="1">
      <alignment horizontal="center" vertical="center" shrinkToFit="1" readingOrder="2"/>
      <protection hidden="1"/>
    </xf>
    <xf numFmtId="0" fontId="0" fillId="0" borderId="0" xfId="0" applyAlignment="1">
      <alignment horizontal="center" vertical="center"/>
    </xf>
    <xf numFmtId="1" fontId="0" fillId="0" borderId="0" xfId="0" applyNumberFormat="1" applyAlignment="1">
      <alignment horizontal="center" vertical="center"/>
    </xf>
    <xf numFmtId="1" fontId="57" fillId="0" borderId="67" xfId="0" applyNumberFormat="1" applyFont="1" applyBorder="1" applyAlignment="1" applyProtection="1">
      <alignment horizontal="center" vertical="center" shrinkToFit="1" readingOrder="2"/>
      <protection hidden="1"/>
    </xf>
    <xf numFmtId="3" fontId="57" fillId="0" borderId="66" xfId="0" applyNumberFormat="1" applyFont="1" applyBorder="1" applyAlignment="1" applyProtection="1">
      <alignment horizontal="center" vertical="center" shrinkToFit="1" readingOrder="2"/>
      <protection hidden="1"/>
    </xf>
    <xf numFmtId="1" fontId="57" fillId="8" borderId="68" xfId="0" applyNumberFormat="1" applyFont="1" applyFill="1" applyBorder="1" applyAlignment="1" applyProtection="1">
      <alignment horizontal="center" vertical="center" shrinkToFit="1" readingOrder="2"/>
      <protection hidden="1"/>
    </xf>
    <xf numFmtId="3" fontId="57" fillId="8" borderId="64" xfId="0" applyNumberFormat="1" applyFont="1" applyFill="1" applyBorder="1" applyAlignment="1" applyProtection="1">
      <alignment horizontal="center" vertical="center" shrinkToFit="1" readingOrder="2"/>
      <protection hidden="1"/>
    </xf>
    <xf numFmtId="1" fontId="57" fillId="0" borderId="70" xfId="0" applyNumberFormat="1" applyFont="1" applyBorder="1" applyAlignment="1" applyProtection="1">
      <alignment horizontal="center" vertical="center" shrinkToFit="1" readingOrder="2"/>
      <protection hidden="1"/>
    </xf>
    <xf numFmtId="3" fontId="57" fillId="0" borderId="29" xfId="0" applyNumberFormat="1" applyFont="1" applyBorder="1" applyAlignment="1" applyProtection="1">
      <alignment horizontal="center" vertical="center" shrinkToFit="1" readingOrder="2"/>
      <protection hidden="1"/>
    </xf>
    <xf numFmtId="1" fontId="57" fillId="0" borderId="68" xfId="0" applyNumberFormat="1" applyFont="1" applyBorder="1" applyAlignment="1" applyProtection="1">
      <alignment horizontal="center" vertical="center" shrinkToFit="1" readingOrder="2"/>
      <protection hidden="1"/>
    </xf>
    <xf numFmtId="3" fontId="57" fillId="0" borderId="64" xfId="0" applyNumberFormat="1" applyFont="1" applyBorder="1" applyAlignment="1" applyProtection="1">
      <alignment horizontal="center" vertical="center" shrinkToFit="1" readingOrder="2"/>
      <protection hidden="1"/>
    </xf>
    <xf numFmtId="1" fontId="57" fillId="0" borderId="69" xfId="0" applyNumberFormat="1" applyFont="1" applyBorder="1" applyAlignment="1" applyProtection="1">
      <alignment horizontal="center" vertical="center" shrinkToFit="1" readingOrder="2"/>
      <protection hidden="1"/>
    </xf>
    <xf numFmtId="3" fontId="57" fillId="0" borderId="26" xfId="0" applyNumberFormat="1" applyFont="1" applyBorder="1" applyAlignment="1" applyProtection="1">
      <alignment horizontal="center" vertical="center" shrinkToFit="1" readingOrder="2"/>
      <protection hidden="1"/>
    </xf>
    <xf numFmtId="3" fontId="57" fillId="0" borderId="73" xfId="0" applyNumberFormat="1" applyFont="1" applyBorder="1" applyAlignment="1" applyProtection="1">
      <alignment horizontal="center" vertical="center" shrinkToFit="1" readingOrder="1"/>
      <protection hidden="1"/>
    </xf>
    <xf numFmtId="3" fontId="59" fillId="0" borderId="73" xfId="0" applyNumberFormat="1" applyFont="1" applyBorder="1" applyAlignment="1" applyProtection="1">
      <alignment horizontal="center" vertical="center" shrinkToFit="1" readingOrder="1"/>
      <protection hidden="1"/>
    </xf>
    <xf numFmtId="165" fontId="57" fillId="0" borderId="66" xfId="0" applyNumberFormat="1" applyFont="1" applyBorder="1" applyAlignment="1" applyProtection="1">
      <alignment horizontal="center" vertical="center" shrinkToFit="1" readingOrder="1"/>
      <protection hidden="1"/>
    </xf>
    <xf numFmtId="3" fontId="57" fillId="11" borderId="74" xfId="0" applyNumberFormat="1" applyFont="1" applyFill="1" applyBorder="1" applyAlignment="1" applyProtection="1">
      <alignment horizontal="center" vertical="center" shrinkToFit="1" readingOrder="1"/>
      <protection hidden="1"/>
    </xf>
    <xf numFmtId="165" fontId="57" fillId="11" borderId="64" xfId="0" applyNumberFormat="1" applyFont="1" applyFill="1" applyBorder="1" applyAlignment="1" applyProtection="1">
      <alignment horizontal="center" vertical="center" shrinkToFit="1" readingOrder="1"/>
      <protection hidden="1"/>
    </xf>
    <xf numFmtId="3" fontId="57" fillId="0" borderId="74" xfId="0" applyNumberFormat="1" applyFont="1" applyBorder="1" applyAlignment="1" applyProtection="1">
      <alignment horizontal="center" vertical="center" shrinkToFit="1" readingOrder="1"/>
      <protection hidden="1"/>
    </xf>
    <xf numFmtId="165" fontId="57" fillId="0" borderId="64" xfId="0" applyNumberFormat="1" applyFont="1" applyBorder="1" applyAlignment="1" applyProtection="1">
      <alignment horizontal="center" vertical="center" shrinkToFit="1" readingOrder="1"/>
      <protection hidden="1"/>
    </xf>
    <xf numFmtId="0" fontId="3" fillId="28" borderId="84" xfId="0" applyFont="1" applyFill="1" applyBorder="1" applyAlignment="1" applyProtection="1">
      <alignment horizontal="center" vertical="center" shrinkToFit="1" readingOrder="2"/>
      <protection hidden="1"/>
    </xf>
    <xf numFmtId="1" fontId="1" fillId="29" borderId="85" xfId="0" applyNumberFormat="1" applyFont="1" applyFill="1" applyBorder="1" applyAlignment="1" applyProtection="1">
      <alignment horizontal="center" vertical="center" shrinkToFit="1" readingOrder="2"/>
      <protection locked="0" hidden="1"/>
    </xf>
    <xf numFmtId="0" fontId="3" fillId="28" borderId="86" xfId="0" applyFont="1" applyFill="1" applyBorder="1" applyAlignment="1" applyProtection="1">
      <alignment horizontal="center" vertical="center" shrinkToFit="1" readingOrder="2"/>
      <protection hidden="1"/>
    </xf>
    <xf numFmtId="1" fontId="1" fillId="29" borderId="87" xfId="0" applyNumberFormat="1" applyFont="1" applyFill="1" applyBorder="1" applyAlignment="1" applyProtection="1">
      <alignment horizontal="center" vertical="center" shrinkToFit="1" readingOrder="2"/>
      <protection locked="0" hidden="1"/>
    </xf>
    <xf numFmtId="0" fontId="3" fillId="28" borderId="88" xfId="0" applyFont="1" applyFill="1" applyBorder="1" applyAlignment="1" applyProtection="1">
      <alignment horizontal="center" vertical="center" shrinkToFit="1" readingOrder="2"/>
      <protection hidden="1"/>
    </xf>
    <xf numFmtId="164" fontId="1" fillId="29" borderId="89" xfId="0" applyNumberFormat="1" applyFont="1" applyFill="1" applyBorder="1" applyAlignment="1" applyProtection="1">
      <alignment horizontal="center" vertical="center" shrinkToFit="1" readingOrder="2"/>
      <protection locked="0" hidden="1"/>
    </xf>
    <xf numFmtId="0" fontId="53" fillId="26" borderId="90" xfId="0" applyFont="1" applyFill="1" applyBorder="1" applyAlignment="1" applyProtection="1">
      <alignment horizontal="center" shrinkToFit="1"/>
      <protection hidden="1"/>
    </xf>
    <xf numFmtId="0" fontId="53" fillId="26" borderId="91" xfId="0" applyFont="1" applyFill="1" applyBorder="1" applyAlignment="1" applyProtection="1">
      <alignment horizontal="center" shrinkToFit="1"/>
      <protection hidden="1"/>
    </xf>
    <xf numFmtId="0" fontId="3" fillId="27" borderId="92" xfId="0" applyFont="1" applyFill="1" applyBorder="1" applyAlignment="1" applyProtection="1">
      <alignment horizontal="center" vertical="center" shrinkToFit="1" readingOrder="2"/>
      <protection hidden="1"/>
    </xf>
    <xf numFmtId="3" fontId="11" fillId="11" borderId="93" xfId="0" applyNumberFormat="1" applyFont="1" applyFill="1" applyBorder="1" applyAlignment="1" applyProtection="1">
      <alignment horizontal="center" vertical="center" shrinkToFit="1"/>
      <protection locked="0" hidden="1"/>
    </xf>
    <xf numFmtId="0" fontId="3" fillId="27" borderId="94" xfId="0" applyFont="1" applyFill="1" applyBorder="1" applyAlignment="1" applyProtection="1">
      <alignment horizontal="center" vertical="center" shrinkToFit="1" readingOrder="2"/>
      <protection hidden="1"/>
    </xf>
    <xf numFmtId="3" fontId="11" fillId="11" borderId="95" xfId="0" applyNumberFormat="1" applyFont="1" applyFill="1" applyBorder="1" applyAlignment="1" applyProtection="1">
      <alignment horizontal="center" vertical="center" shrinkToFit="1"/>
      <protection locked="0" hidden="1"/>
    </xf>
    <xf numFmtId="0" fontId="3" fillId="27" borderId="96" xfId="0" applyFont="1" applyFill="1" applyBorder="1" applyAlignment="1" applyProtection="1">
      <alignment horizontal="center" vertical="center" shrinkToFit="1" readingOrder="2"/>
      <protection hidden="1"/>
    </xf>
    <xf numFmtId="3" fontId="11" fillId="11" borderId="97" xfId="0" applyNumberFormat="1" applyFont="1" applyFill="1" applyBorder="1" applyAlignment="1" applyProtection="1">
      <alignment horizontal="center" vertical="center" shrinkToFit="1"/>
      <protection locked="0" hidden="1"/>
    </xf>
    <xf numFmtId="164" fontId="11" fillId="11" borderId="93" xfId="0" applyNumberFormat="1" applyFont="1" applyFill="1" applyBorder="1" applyAlignment="1" applyProtection="1">
      <alignment horizontal="center" vertical="center" shrinkToFit="1"/>
      <protection locked="0" hidden="1"/>
    </xf>
    <xf numFmtId="164" fontId="11" fillId="11" borderId="95" xfId="0" applyNumberFormat="1" applyFont="1" applyFill="1" applyBorder="1" applyAlignment="1" applyProtection="1">
      <alignment horizontal="center" vertical="center" shrinkToFit="1"/>
      <protection locked="0" hidden="1"/>
    </xf>
    <xf numFmtId="164" fontId="11" fillId="11" borderId="97" xfId="0" applyNumberFormat="1" applyFont="1" applyFill="1" applyBorder="1" applyAlignment="1" applyProtection="1">
      <alignment horizontal="center" vertical="center" shrinkToFit="1"/>
      <protection locked="0" hidden="1"/>
    </xf>
    <xf numFmtId="0" fontId="3" fillId="27" borderId="98" xfId="0" applyFont="1" applyFill="1" applyBorder="1" applyAlignment="1" applyProtection="1">
      <alignment horizontal="center" vertical="center" shrinkToFit="1" readingOrder="2"/>
      <protection hidden="1"/>
    </xf>
    <xf numFmtId="164" fontId="11" fillId="11" borderId="99" xfId="0" applyNumberFormat="1" applyFont="1" applyFill="1" applyBorder="1" applyAlignment="1" applyProtection="1">
      <alignment horizontal="center" vertical="center" shrinkToFit="1"/>
      <protection locked="0" hidden="1"/>
    </xf>
    <xf numFmtId="0" fontId="3" fillId="7" borderId="100" xfId="0" applyFont="1" applyFill="1" applyBorder="1" applyAlignment="1" applyProtection="1">
      <alignment horizontal="center" vertical="center" shrinkToFit="1" readingOrder="2"/>
      <protection hidden="1"/>
    </xf>
    <xf numFmtId="164" fontId="11" fillId="8" borderId="101" xfId="0" applyNumberFormat="1" applyFont="1" applyFill="1" applyBorder="1" applyAlignment="1" applyProtection="1">
      <alignment horizontal="center" vertical="center" shrinkToFit="1" readingOrder="2"/>
      <protection hidden="1"/>
    </xf>
    <xf numFmtId="0" fontId="3" fillId="7" borderId="102" xfId="0" applyFont="1" applyFill="1" applyBorder="1" applyAlignment="1" applyProtection="1">
      <alignment horizontal="center" vertical="center" shrinkToFit="1" readingOrder="2"/>
      <protection hidden="1"/>
    </xf>
    <xf numFmtId="164" fontId="11" fillId="8" borderId="103" xfId="0" applyNumberFormat="1" applyFont="1" applyFill="1" applyBorder="1" applyAlignment="1" applyProtection="1">
      <alignment horizontal="center" vertical="center" shrinkToFit="1" readingOrder="2"/>
      <protection hidden="1"/>
    </xf>
    <xf numFmtId="0" fontId="3" fillId="7" borderId="104" xfId="0" applyFont="1" applyFill="1" applyBorder="1" applyAlignment="1" applyProtection="1">
      <alignment horizontal="center" vertical="center" shrinkToFit="1" readingOrder="2"/>
      <protection hidden="1"/>
    </xf>
    <xf numFmtId="164" fontId="11" fillId="8" borderId="105" xfId="0" applyNumberFormat="1" applyFont="1" applyFill="1" applyBorder="1" applyAlignment="1" applyProtection="1">
      <alignment horizontal="center" vertical="center" shrinkToFit="1" readingOrder="2"/>
      <protection hidden="1"/>
    </xf>
    <xf numFmtId="0" fontId="18" fillId="20" borderId="65" xfId="0" applyFont="1" applyFill="1" applyBorder="1" applyAlignment="1" applyProtection="1">
      <alignment horizontal="center" vertical="center" shrinkToFit="1" readingOrder="2"/>
      <protection hidden="1"/>
    </xf>
    <xf numFmtId="0" fontId="18" fillId="20" borderId="20" xfId="0" applyFont="1" applyFill="1" applyBorder="1" applyAlignment="1" applyProtection="1">
      <alignment horizontal="center" vertical="center" shrinkToFit="1" readingOrder="2"/>
      <protection hidden="1"/>
    </xf>
    <xf numFmtId="1" fontId="58" fillId="20" borderId="65" xfId="0" applyNumberFormat="1" applyFont="1" applyFill="1" applyBorder="1" applyAlignment="1" applyProtection="1">
      <alignment horizontal="center" vertical="center" shrinkToFit="1" readingOrder="2"/>
      <protection hidden="1"/>
    </xf>
    <xf numFmtId="3" fontId="58" fillId="20" borderId="20" xfId="0" applyNumberFormat="1" applyFont="1" applyFill="1" applyBorder="1" applyAlignment="1" applyProtection="1">
      <alignment horizontal="center" vertical="center" shrinkToFit="1" readingOrder="2"/>
      <protection hidden="1"/>
    </xf>
    <xf numFmtId="0" fontId="54" fillId="0" borderId="0" xfId="0" applyFont="1" applyAlignment="1" applyProtection="1">
      <alignment shrinkToFit="1" readingOrder="2"/>
      <protection hidden="1"/>
    </xf>
    <xf numFmtId="0" fontId="62" fillId="11" borderId="83" xfId="1" applyFont="1" applyFill="1" applyBorder="1" applyAlignment="1" applyProtection="1">
      <alignment horizontal="center" vertical="center" shrinkToFit="1"/>
      <protection hidden="1"/>
    </xf>
    <xf numFmtId="0" fontId="62" fillId="21" borderId="82" xfId="1" applyFont="1" applyFill="1" applyBorder="1" applyAlignment="1" applyProtection="1">
      <alignment horizontal="center" vertical="center" shrinkToFit="1"/>
      <protection hidden="1"/>
    </xf>
    <xf numFmtId="0" fontId="62" fillId="21" borderId="83" xfId="1" applyFont="1" applyFill="1" applyBorder="1" applyAlignment="1" applyProtection="1">
      <alignment horizontal="center" vertical="center" shrinkToFit="1"/>
      <protection hidden="1"/>
    </xf>
    <xf numFmtId="0" fontId="63" fillId="2" borderId="0" xfId="1" applyFont="1" applyFill="1" applyAlignment="1" applyProtection="1">
      <alignment horizontal="left" vertical="center" shrinkToFit="1"/>
      <protection hidden="1"/>
    </xf>
    <xf numFmtId="0" fontId="61" fillId="2" borderId="0" xfId="1" applyFont="1" applyFill="1" applyAlignment="1" applyProtection="1">
      <alignment horizontal="center" vertical="top" shrinkToFit="1"/>
      <protection hidden="1"/>
    </xf>
    <xf numFmtId="0" fontId="60" fillId="2" borderId="0" xfId="1" applyFont="1" applyFill="1" applyAlignment="1" applyProtection="1">
      <alignment horizontal="center" vertical="top" shrinkToFit="1"/>
      <protection hidden="1"/>
    </xf>
    <xf numFmtId="0" fontId="48" fillId="0" borderId="0" xfId="0" applyFont="1" applyAlignment="1" applyProtection="1">
      <alignment horizontal="center" shrinkToFit="1"/>
      <protection hidden="1"/>
    </xf>
    <xf numFmtId="0" fontId="20" fillId="0" borderId="0" xfId="0" applyFont="1" applyAlignment="1" applyProtection="1">
      <alignment horizontal="center" vertical="center" shrinkToFit="1"/>
      <protection hidden="1"/>
    </xf>
    <xf numFmtId="0" fontId="34" fillId="0" borderId="0" xfId="0" applyFont="1" applyAlignment="1" applyProtection="1">
      <alignment horizontal="center" vertical="center" wrapText="1" shrinkToFit="1"/>
      <protection hidden="1"/>
    </xf>
    <xf numFmtId="0" fontId="34" fillId="0" borderId="0" xfId="0" applyFont="1" applyAlignment="1" applyProtection="1">
      <alignment horizontal="center" vertical="center" shrinkToFit="1"/>
      <protection hidden="1"/>
    </xf>
    <xf numFmtId="0" fontId="30" fillId="0" borderId="0" xfId="0" applyFont="1" applyAlignment="1" applyProtection="1">
      <alignment horizontal="center" vertical="center" shrinkToFit="1"/>
      <protection hidden="1"/>
    </xf>
    <xf numFmtId="0" fontId="11" fillId="2" borderId="25" xfId="0" applyFont="1" applyFill="1" applyBorder="1" applyAlignment="1" applyProtection="1">
      <alignment horizontal="center" vertical="center"/>
      <protection hidden="1"/>
    </xf>
    <xf numFmtId="0" fontId="46" fillId="0" borderId="0" xfId="0" applyFont="1" applyAlignment="1" applyProtection="1">
      <alignment horizontal="right" vertical="center" shrinkToFit="1" readingOrder="2"/>
      <protection hidden="1"/>
    </xf>
    <xf numFmtId="0" fontId="46" fillId="2" borderId="0" xfId="0" applyFont="1" applyFill="1" applyAlignment="1" applyProtection="1">
      <alignment horizontal="right" vertical="center" shrinkToFit="1" readingOrder="2"/>
      <protection hidden="1"/>
    </xf>
    <xf numFmtId="0" fontId="12" fillId="0" borderId="23" xfId="0" applyFont="1" applyBorder="1" applyAlignment="1" applyProtection="1">
      <alignment horizontal="center" vertical="center" shrinkToFit="1" readingOrder="2"/>
      <protection hidden="1"/>
    </xf>
    <xf numFmtId="0" fontId="12" fillId="0" borderId="27" xfId="0" applyFont="1" applyBorder="1" applyAlignment="1" applyProtection="1">
      <alignment horizontal="center" vertical="center" shrinkToFit="1" readingOrder="2"/>
      <protection hidden="1"/>
    </xf>
    <xf numFmtId="0" fontId="12" fillId="0" borderId="28" xfId="0" applyFont="1" applyBorder="1" applyAlignment="1" applyProtection="1">
      <alignment horizontal="center" vertical="center" shrinkToFit="1" readingOrder="2"/>
      <protection hidden="1"/>
    </xf>
    <xf numFmtId="0" fontId="12" fillId="0" borderId="29" xfId="0" applyFont="1" applyBorder="1" applyAlignment="1" applyProtection="1">
      <alignment horizontal="center" vertical="center" shrinkToFit="1" readingOrder="2"/>
      <protection hidden="1"/>
    </xf>
    <xf numFmtId="0" fontId="12" fillId="0" borderId="30" xfId="0" applyFont="1" applyBorder="1" applyAlignment="1" applyProtection="1">
      <alignment horizontal="center" vertical="center" shrinkToFit="1" readingOrder="2"/>
      <protection hidden="1"/>
    </xf>
    <xf numFmtId="0" fontId="12" fillId="0" borderId="26" xfId="0" applyFont="1" applyBorder="1" applyAlignment="1" applyProtection="1">
      <alignment horizontal="center" vertical="center" shrinkToFit="1" readingOrder="2"/>
      <protection hidden="1"/>
    </xf>
    <xf numFmtId="0" fontId="12" fillId="0" borderId="76" xfId="0" applyFont="1" applyBorder="1" applyAlignment="1" applyProtection="1">
      <alignment horizontal="right" vertical="center" shrinkToFit="1" readingOrder="2"/>
      <protection hidden="1"/>
    </xf>
    <xf numFmtId="0" fontId="12" fillId="0" borderId="79" xfId="0" applyFont="1" applyBorder="1" applyAlignment="1" applyProtection="1">
      <alignment horizontal="right" vertical="center" shrinkToFit="1" readingOrder="2"/>
      <protection hidden="1"/>
    </xf>
    <xf numFmtId="0" fontId="12" fillId="0" borderId="64" xfId="0" applyFont="1" applyBorder="1" applyAlignment="1" applyProtection="1">
      <alignment horizontal="right" vertical="center" shrinkToFit="1" readingOrder="2"/>
      <protection hidden="1"/>
    </xf>
    <xf numFmtId="0" fontId="11" fillId="20" borderId="19" xfId="0" applyFont="1" applyFill="1" applyBorder="1" applyAlignment="1" applyProtection="1">
      <alignment horizontal="center" vertical="center" shrinkToFit="1" readingOrder="2"/>
      <protection hidden="1"/>
    </xf>
    <xf numFmtId="0" fontId="11" fillId="20" borderId="22" xfId="0" applyFont="1" applyFill="1" applyBorder="1" applyAlignment="1" applyProtection="1">
      <alignment horizontal="center" vertical="center" shrinkToFit="1" readingOrder="2"/>
      <protection hidden="1"/>
    </xf>
    <xf numFmtId="0" fontId="11" fillId="20" borderId="20" xfId="0" applyFont="1" applyFill="1" applyBorder="1" applyAlignment="1" applyProtection="1">
      <alignment horizontal="center" vertical="center" shrinkToFit="1" readingOrder="2"/>
      <protection hidden="1"/>
    </xf>
    <xf numFmtId="0" fontId="11" fillId="22" borderId="19" xfId="0" applyFont="1" applyFill="1" applyBorder="1" applyAlignment="1" applyProtection="1">
      <alignment horizontal="center" vertical="center" shrinkToFit="1" readingOrder="2"/>
      <protection hidden="1"/>
    </xf>
    <xf numFmtId="0" fontId="11" fillId="22" borderId="22" xfId="0" applyFont="1" applyFill="1" applyBorder="1" applyAlignment="1" applyProtection="1">
      <alignment horizontal="center" vertical="center" shrinkToFit="1" readingOrder="2"/>
      <protection hidden="1"/>
    </xf>
    <xf numFmtId="0" fontId="11" fillId="22" borderId="20" xfId="0" applyFont="1" applyFill="1" applyBorder="1" applyAlignment="1" applyProtection="1">
      <alignment horizontal="center" vertical="center" shrinkToFit="1" readingOrder="2"/>
      <protection hidden="1"/>
    </xf>
    <xf numFmtId="0" fontId="1" fillId="0" borderId="75" xfId="0" applyFont="1" applyBorder="1" applyAlignment="1" applyProtection="1">
      <alignment horizontal="center" vertical="center" shrinkToFit="1" readingOrder="2"/>
      <protection hidden="1"/>
    </xf>
    <xf numFmtId="0" fontId="1" fillId="0" borderId="78" xfId="0" applyFont="1" applyBorder="1" applyAlignment="1" applyProtection="1">
      <alignment horizontal="center" vertical="center" shrinkToFit="1" readingOrder="2"/>
      <protection hidden="1"/>
    </xf>
    <xf numFmtId="0" fontId="1" fillId="0" borderId="73" xfId="0" applyFont="1" applyBorder="1" applyAlignment="1" applyProtection="1">
      <alignment horizontal="center" vertical="center" shrinkToFit="1" readingOrder="2"/>
      <protection hidden="1"/>
    </xf>
    <xf numFmtId="0" fontId="1" fillId="11" borderId="76" xfId="0" applyFont="1" applyFill="1" applyBorder="1" applyAlignment="1" applyProtection="1">
      <alignment horizontal="center" vertical="center" shrinkToFit="1" readingOrder="2"/>
      <protection hidden="1"/>
    </xf>
    <xf numFmtId="0" fontId="1" fillId="11" borderId="79" xfId="0" applyFont="1" applyFill="1" applyBorder="1" applyAlignment="1" applyProtection="1">
      <alignment horizontal="center" vertical="center" shrinkToFit="1" readingOrder="2"/>
      <protection hidden="1"/>
    </xf>
    <xf numFmtId="0" fontId="1" fillId="11" borderId="74" xfId="0" applyFont="1" applyFill="1" applyBorder="1" applyAlignment="1" applyProtection="1">
      <alignment horizontal="center" vertical="center" shrinkToFit="1" readingOrder="2"/>
      <protection hidden="1"/>
    </xf>
    <xf numFmtId="0" fontId="12" fillId="8" borderId="76" xfId="0" applyFont="1" applyFill="1" applyBorder="1" applyAlignment="1" applyProtection="1">
      <alignment horizontal="right" vertical="center" shrinkToFit="1" readingOrder="2"/>
      <protection hidden="1"/>
    </xf>
    <xf numFmtId="0" fontId="12" fillId="8" borderId="79" xfId="0" applyFont="1" applyFill="1" applyBorder="1" applyAlignment="1" applyProtection="1">
      <alignment horizontal="right" vertical="center" shrinkToFit="1" readingOrder="2"/>
      <protection hidden="1"/>
    </xf>
    <xf numFmtId="0" fontId="12" fillId="8" borderId="64" xfId="0" applyFont="1" applyFill="1" applyBorder="1" applyAlignment="1" applyProtection="1">
      <alignment horizontal="right" vertical="center" shrinkToFit="1" readingOrder="2"/>
      <protection hidden="1"/>
    </xf>
    <xf numFmtId="0" fontId="12" fillId="20" borderId="19" xfId="0" applyFont="1" applyFill="1" applyBorder="1" applyAlignment="1" applyProtection="1">
      <alignment horizontal="center" vertical="center" shrinkToFit="1" readingOrder="2"/>
      <protection hidden="1"/>
    </xf>
    <xf numFmtId="0" fontId="12" fillId="20" borderId="20" xfId="0" applyFont="1" applyFill="1" applyBorder="1" applyAlignment="1" applyProtection="1">
      <alignment horizontal="center" vertical="center" shrinkToFit="1" readingOrder="2"/>
      <protection hidden="1"/>
    </xf>
    <xf numFmtId="0" fontId="12" fillId="0" borderId="75" xfId="0" applyFont="1" applyBorder="1" applyAlignment="1" applyProtection="1">
      <alignment horizontal="right" vertical="center" shrinkToFit="1" readingOrder="2"/>
      <protection hidden="1"/>
    </xf>
    <xf numFmtId="0" fontId="12" fillId="0" borderId="78" xfId="0" applyFont="1" applyBorder="1" applyAlignment="1" applyProtection="1">
      <alignment horizontal="right" vertical="center" shrinkToFit="1" readingOrder="2"/>
      <protection hidden="1"/>
    </xf>
    <xf numFmtId="0" fontId="12" fillId="0" borderId="66" xfId="0" applyFont="1" applyBorder="1" applyAlignment="1" applyProtection="1">
      <alignment horizontal="right" vertical="center" shrinkToFit="1" readingOrder="2"/>
      <protection hidden="1"/>
    </xf>
    <xf numFmtId="0" fontId="18" fillId="20" borderId="7" xfId="0" applyFont="1" applyFill="1" applyBorder="1" applyAlignment="1" applyProtection="1">
      <alignment horizontal="center" vertical="center" wrapText="1" shrinkToFit="1"/>
      <protection hidden="1"/>
    </xf>
    <xf numFmtId="0" fontId="18" fillId="20" borderId="7" xfId="0" applyFont="1" applyFill="1" applyBorder="1" applyAlignment="1" applyProtection="1">
      <alignment horizontal="center" vertical="center" shrinkToFit="1"/>
      <protection hidden="1"/>
    </xf>
    <xf numFmtId="0" fontId="18" fillId="20" borderId="23" xfId="0" applyFont="1" applyFill="1" applyBorder="1" applyAlignment="1" applyProtection="1">
      <alignment horizontal="center" vertical="center" shrinkToFit="1" readingOrder="2"/>
      <protection hidden="1"/>
    </xf>
    <xf numFmtId="0" fontId="18" fillId="20" borderId="24" xfId="0" applyFont="1" applyFill="1" applyBorder="1" applyAlignment="1" applyProtection="1">
      <alignment horizontal="center" vertical="center" shrinkToFit="1" readingOrder="2"/>
      <protection hidden="1"/>
    </xf>
    <xf numFmtId="0" fontId="18" fillId="20" borderId="27" xfId="0" applyFont="1" applyFill="1" applyBorder="1" applyAlignment="1" applyProtection="1">
      <alignment horizontal="center" vertical="center" shrinkToFit="1" readingOrder="2"/>
      <protection hidden="1"/>
    </xf>
    <xf numFmtId="0" fontId="18" fillId="20" borderId="30" xfId="0" applyFont="1" applyFill="1" applyBorder="1" applyAlignment="1" applyProtection="1">
      <alignment horizontal="center" vertical="center" shrinkToFit="1" readingOrder="2"/>
      <protection hidden="1"/>
    </xf>
    <xf numFmtId="0" fontId="18" fillId="20" borderId="25" xfId="0" applyFont="1" applyFill="1" applyBorder="1" applyAlignment="1" applyProtection="1">
      <alignment horizontal="center" vertical="center" shrinkToFit="1" readingOrder="2"/>
      <protection hidden="1"/>
    </xf>
    <xf numFmtId="0" fontId="18" fillId="20" borderId="26" xfId="0" applyFont="1" applyFill="1" applyBorder="1" applyAlignment="1" applyProtection="1">
      <alignment horizontal="center" vertical="center" shrinkToFit="1" readingOrder="2"/>
      <protection hidden="1"/>
    </xf>
    <xf numFmtId="0" fontId="12" fillId="0" borderId="75" xfId="0" applyFont="1" applyBorder="1" applyAlignment="1" applyProtection="1">
      <alignment horizontal="center" vertical="center" shrinkToFit="1" readingOrder="2"/>
      <protection hidden="1"/>
    </xf>
    <xf numFmtId="0" fontId="12" fillId="0" borderId="66" xfId="0" applyFont="1" applyBorder="1" applyAlignment="1" applyProtection="1">
      <alignment horizontal="center" vertical="center" shrinkToFit="1" readingOrder="2"/>
      <protection hidden="1"/>
    </xf>
    <xf numFmtId="0" fontId="12" fillId="8" borderId="76" xfId="0" applyFont="1" applyFill="1" applyBorder="1" applyAlignment="1" applyProtection="1">
      <alignment horizontal="center" vertical="center" shrinkToFit="1" readingOrder="2"/>
      <protection hidden="1"/>
    </xf>
    <xf numFmtId="0" fontId="12" fillId="8" borderId="64" xfId="0" applyFont="1" applyFill="1" applyBorder="1" applyAlignment="1" applyProtection="1">
      <alignment horizontal="center" vertical="center" shrinkToFit="1" readingOrder="2"/>
      <protection hidden="1"/>
    </xf>
    <xf numFmtId="0" fontId="12" fillId="0" borderId="77" xfId="0" applyFont="1" applyBorder="1" applyAlignment="1" applyProtection="1">
      <alignment horizontal="center" vertical="center" shrinkToFit="1" readingOrder="2"/>
      <protection hidden="1"/>
    </xf>
    <xf numFmtId="0" fontId="12" fillId="0" borderId="72" xfId="0" applyFont="1" applyBorder="1" applyAlignment="1" applyProtection="1">
      <alignment horizontal="center" vertical="center" shrinkToFit="1" readingOrder="2"/>
      <protection hidden="1"/>
    </xf>
    <xf numFmtId="0" fontId="12" fillId="6" borderId="7" xfId="0" applyFont="1" applyFill="1" applyBorder="1" applyAlignment="1" applyProtection="1">
      <alignment horizontal="center" vertical="center" shrinkToFit="1" readingOrder="2"/>
      <protection hidden="1"/>
    </xf>
    <xf numFmtId="0" fontId="1" fillId="0" borderId="76" xfId="0" applyFont="1" applyBorder="1" applyAlignment="1" applyProtection="1">
      <alignment horizontal="center" vertical="center" shrinkToFit="1" readingOrder="2"/>
      <protection hidden="1"/>
    </xf>
    <xf numFmtId="0" fontId="1" fillId="0" borderId="79" xfId="0" applyFont="1" applyBorder="1" applyAlignment="1" applyProtection="1">
      <alignment horizontal="center" vertical="center" shrinkToFit="1" readingOrder="2"/>
      <protection hidden="1"/>
    </xf>
    <xf numFmtId="0" fontId="1" fillId="0" borderId="74" xfId="0" applyFont="1" applyBorder="1" applyAlignment="1" applyProtection="1">
      <alignment horizontal="center" vertical="center" shrinkToFit="1" readingOrder="2"/>
      <protection hidden="1"/>
    </xf>
    <xf numFmtId="0" fontId="1" fillId="11" borderId="77" xfId="0" applyFont="1" applyFill="1" applyBorder="1" applyAlignment="1" applyProtection="1">
      <alignment horizontal="center" vertical="center" shrinkToFit="1" readingOrder="2"/>
      <protection hidden="1"/>
    </xf>
    <xf numFmtId="0" fontId="1" fillId="11" borderId="80" xfId="0" applyFont="1" applyFill="1" applyBorder="1" applyAlignment="1" applyProtection="1">
      <alignment horizontal="center" vertical="center" shrinkToFit="1" readingOrder="2"/>
      <protection hidden="1"/>
    </xf>
    <xf numFmtId="0" fontId="1" fillId="11" borderId="81" xfId="0" applyFont="1" applyFill="1" applyBorder="1" applyAlignment="1" applyProtection="1">
      <alignment horizontal="center" vertical="center" shrinkToFit="1" readingOrder="2"/>
      <protection hidden="1"/>
    </xf>
    <xf numFmtId="0" fontId="12" fillId="0" borderId="77" xfId="0" applyFont="1" applyBorder="1" applyAlignment="1" applyProtection="1">
      <alignment horizontal="right" vertical="center" shrinkToFit="1" readingOrder="2"/>
      <protection hidden="1"/>
    </xf>
    <xf numFmtId="0" fontId="12" fillId="0" borderId="80" xfId="0" applyFont="1" applyBorder="1" applyAlignment="1" applyProtection="1">
      <alignment horizontal="right" vertical="center" shrinkToFit="1" readingOrder="2"/>
      <protection hidden="1"/>
    </xf>
    <xf numFmtId="0" fontId="12" fillId="0" borderId="72" xfId="0" applyFont="1" applyBorder="1" applyAlignment="1" applyProtection="1">
      <alignment horizontal="right" vertical="center" shrinkToFit="1" readingOrder="2"/>
      <protection hidden="1"/>
    </xf>
    <xf numFmtId="0" fontId="2" fillId="2" borderId="7" xfId="0" applyFont="1" applyFill="1" applyBorder="1" applyAlignment="1" applyProtection="1">
      <alignment horizontal="right" vertical="center" shrinkToFit="1" readingOrder="2"/>
      <protection hidden="1"/>
    </xf>
    <xf numFmtId="0" fontId="2" fillId="2" borderId="6" xfId="0" applyFont="1" applyFill="1" applyBorder="1" applyAlignment="1" applyProtection="1">
      <alignment horizontal="right" vertical="center" shrinkToFit="1" readingOrder="2"/>
      <protection hidden="1"/>
    </xf>
    <xf numFmtId="0" fontId="2" fillId="2" borderId="0" xfId="0" applyFont="1" applyFill="1" applyAlignment="1" applyProtection="1">
      <alignment horizontal="center" vertical="center" shrinkToFit="1" readingOrder="2"/>
      <protection hidden="1"/>
    </xf>
    <xf numFmtId="0" fontId="2" fillId="2" borderId="26" xfId="0" applyFont="1" applyFill="1" applyBorder="1" applyAlignment="1" applyProtection="1">
      <alignment horizontal="right" vertical="center" shrinkToFit="1" readingOrder="2"/>
      <protection hidden="1"/>
    </xf>
    <xf numFmtId="0" fontId="11" fillId="2" borderId="0" xfId="0" applyFont="1" applyFill="1" applyAlignment="1" applyProtection="1">
      <alignment horizontal="center" vertical="center" shrinkToFit="1" readingOrder="2"/>
      <protection hidden="1"/>
    </xf>
    <xf numFmtId="0" fontId="11" fillId="2" borderId="0" xfId="0" applyFont="1" applyFill="1" applyAlignment="1" applyProtection="1">
      <alignment horizontal="center" shrinkToFit="1" readingOrder="2"/>
      <protection hidden="1"/>
    </xf>
    <xf numFmtId="0" fontId="10" fillId="2" borderId="7" xfId="0" applyFont="1" applyFill="1" applyBorder="1" applyAlignment="1" applyProtection="1">
      <alignment horizontal="center" vertical="center" shrinkToFit="1" readingOrder="2"/>
      <protection hidden="1"/>
    </xf>
    <xf numFmtId="0" fontId="4" fillId="2" borderId="0" xfId="0" applyFont="1" applyFill="1" applyAlignment="1" applyProtection="1">
      <alignment horizontal="center" vertical="center" shrinkToFit="1" readingOrder="2"/>
      <protection hidden="1"/>
    </xf>
    <xf numFmtId="0" fontId="4" fillId="2" borderId="0" xfId="0" applyFont="1" applyFill="1" applyAlignment="1" applyProtection="1">
      <alignment horizontal="left" shrinkToFit="1" readingOrder="2"/>
      <protection hidden="1"/>
    </xf>
    <xf numFmtId="0" fontId="2" fillId="2" borderId="52" xfId="0" applyFont="1" applyFill="1" applyBorder="1" applyAlignment="1" applyProtection="1">
      <alignment horizontal="right" vertical="center" shrinkToFit="1" readingOrder="2"/>
      <protection hidden="1"/>
    </xf>
    <xf numFmtId="0" fontId="2" fillId="2" borderId="40" xfId="0" applyFont="1" applyFill="1" applyBorder="1" applyAlignment="1" applyProtection="1">
      <alignment horizontal="right" vertical="center" shrinkToFit="1" readingOrder="2"/>
      <protection hidden="1"/>
    </xf>
    <xf numFmtId="0" fontId="2" fillId="2" borderId="53" xfId="0" applyFont="1" applyFill="1" applyBorder="1" applyAlignment="1" applyProtection="1">
      <alignment horizontal="right" vertical="center" shrinkToFit="1" readingOrder="2"/>
      <protection hidden="1"/>
    </xf>
    <xf numFmtId="0" fontId="2" fillId="2" borderId="51" xfId="0" applyFont="1" applyFill="1" applyBorder="1" applyAlignment="1" applyProtection="1">
      <alignment horizontal="right" vertical="center" shrinkToFit="1" readingOrder="2"/>
      <protection hidden="1"/>
    </xf>
    <xf numFmtId="0" fontId="2" fillId="2" borderId="54" xfId="0" applyFont="1" applyFill="1" applyBorder="1" applyAlignment="1" applyProtection="1">
      <alignment horizontal="right" vertical="center" shrinkToFit="1" readingOrder="2"/>
      <protection hidden="1"/>
    </xf>
    <xf numFmtId="0" fontId="2" fillId="2" borderId="55" xfId="0" applyFont="1" applyFill="1" applyBorder="1" applyAlignment="1" applyProtection="1">
      <alignment horizontal="right" vertical="center" shrinkToFit="1" readingOrder="2"/>
      <protection hidden="1"/>
    </xf>
    <xf numFmtId="0" fontId="2" fillId="2" borderId="5" xfId="0" applyFont="1" applyFill="1" applyBorder="1" applyAlignment="1" applyProtection="1">
      <alignment horizontal="right" vertical="center" shrinkToFit="1" readingOrder="2"/>
      <protection hidden="1"/>
    </xf>
    <xf numFmtId="0" fontId="2" fillId="2" borderId="11" xfId="0" applyFont="1" applyFill="1" applyBorder="1" applyAlignment="1" applyProtection="1">
      <alignment horizontal="right" vertical="center" shrinkToFit="1" readingOrder="2"/>
      <protection hidden="1"/>
    </xf>
    <xf numFmtId="0" fontId="2" fillId="2" borderId="12" xfId="0" applyFont="1" applyFill="1" applyBorder="1" applyAlignment="1" applyProtection="1">
      <alignment horizontal="right" vertical="center" shrinkToFit="1" readingOrder="2"/>
      <protection hidden="1"/>
    </xf>
    <xf numFmtId="0" fontId="2" fillId="2" borderId="22" xfId="0" applyFont="1" applyFill="1" applyBorder="1" applyAlignment="1" applyProtection="1">
      <alignment horizontal="right" vertical="center" shrinkToFit="1" readingOrder="2"/>
      <protection hidden="1"/>
    </xf>
    <xf numFmtId="0" fontId="2" fillId="2" borderId="35" xfId="0" applyFont="1" applyFill="1" applyBorder="1" applyAlignment="1" applyProtection="1">
      <alignment horizontal="right" vertical="center" shrinkToFit="1" readingOrder="2"/>
      <protection hidden="1"/>
    </xf>
    <xf numFmtId="0" fontId="2" fillId="2" borderId="42" xfId="0" applyFont="1" applyFill="1" applyBorder="1" applyAlignment="1" applyProtection="1">
      <alignment horizontal="right" vertical="center" shrinkToFit="1" readingOrder="2"/>
      <protection hidden="1"/>
    </xf>
    <xf numFmtId="0" fontId="2" fillId="2" borderId="36" xfId="0" applyFont="1" applyFill="1" applyBorder="1" applyAlignment="1" applyProtection="1">
      <alignment horizontal="right" vertical="center" shrinkToFit="1" readingOrder="2"/>
      <protection hidden="1"/>
    </xf>
    <xf numFmtId="0" fontId="2" fillId="2" borderId="27" xfId="0" applyFont="1" applyFill="1" applyBorder="1" applyAlignment="1" applyProtection="1">
      <alignment horizontal="right" vertical="center" shrinkToFit="1" readingOrder="2"/>
      <protection hidden="1"/>
    </xf>
    <xf numFmtId="0" fontId="2" fillId="2" borderId="23" xfId="0" applyFont="1" applyFill="1" applyBorder="1" applyAlignment="1" applyProtection="1">
      <alignment horizontal="right" vertical="center" shrinkToFit="1" readingOrder="2"/>
      <protection hidden="1"/>
    </xf>
    <xf numFmtId="0" fontId="2" fillId="2" borderId="24" xfId="0" applyFont="1" applyFill="1" applyBorder="1" applyAlignment="1" applyProtection="1">
      <alignment horizontal="right" vertical="center" shrinkToFit="1" readingOrder="2"/>
      <protection hidden="1"/>
    </xf>
    <xf numFmtId="0" fontId="2" fillId="2" borderId="43" xfId="0" applyFont="1" applyFill="1" applyBorder="1" applyAlignment="1" applyProtection="1">
      <alignment horizontal="right" vertical="center" shrinkToFit="1" readingOrder="2"/>
      <protection hidden="1"/>
    </xf>
    <xf numFmtId="0" fontId="1" fillId="9" borderId="19" xfId="0" applyFont="1" applyFill="1" applyBorder="1" applyAlignment="1" applyProtection="1">
      <alignment horizontal="right" vertical="center" shrinkToFit="1" readingOrder="2"/>
      <protection hidden="1"/>
    </xf>
    <xf numFmtId="0" fontId="1" fillId="9" borderId="22" xfId="0" applyFont="1" applyFill="1" applyBorder="1" applyAlignment="1" applyProtection="1">
      <alignment horizontal="right" vertical="center" shrinkToFit="1" readingOrder="2"/>
      <protection hidden="1"/>
    </xf>
    <xf numFmtId="0" fontId="1" fillId="9" borderId="20" xfId="0" applyFont="1" applyFill="1" applyBorder="1" applyAlignment="1" applyProtection="1">
      <alignment horizontal="right" vertical="center" shrinkToFit="1" readingOrder="2"/>
      <protection hidden="1"/>
    </xf>
    <xf numFmtId="0" fontId="2" fillId="2" borderId="19" xfId="0" applyFont="1" applyFill="1" applyBorder="1" applyAlignment="1" applyProtection="1">
      <alignment vertical="center" shrinkToFit="1" readingOrder="2"/>
      <protection hidden="1"/>
    </xf>
    <xf numFmtId="0" fontId="2" fillId="2" borderId="22" xfId="0" applyFont="1" applyFill="1" applyBorder="1" applyAlignment="1" applyProtection="1">
      <alignment vertical="center" shrinkToFit="1" readingOrder="2"/>
      <protection hidden="1"/>
    </xf>
    <xf numFmtId="0" fontId="2" fillId="2" borderId="20" xfId="0" applyFont="1" applyFill="1" applyBorder="1" applyAlignment="1" applyProtection="1">
      <alignment vertical="center" shrinkToFit="1" readingOrder="2"/>
      <protection hidden="1"/>
    </xf>
    <xf numFmtId="0" fontId="2" fillId="2" borderId="21" xfId="0" applyFont="1" applyFill="1" applyBorder="1" applyAlignment="1" applyProtection="1">
      <alignment vertical="center" shrinkToFit="1" readingOrder="2"/>
      <protection hidden="1"/>
    </xf>
    <xf numFmtId="0" fontId="2" fillId="2" borderId="31" xfId="0" applyFont="1" applyFill="1" applyBorder="1" applyAlignment="1" applyProtection="1">
      <alignment vertical="center" shrinkToFit="1" readingOrder="2"/>
      <protection hidden="1"/>
    </xf>
    <xf numFmtId="0" fontId="2" fillId="2" borderId="11" xfId="0" applyFont="1" applyFill="1" applyBorder="1" applyAlignment="1" applyProtection="1">
      <alignment vertical="center" shrinkToFit="1" readingOrder="2"/>
      <protection hidden="1"/>
    </xf>
    <xf numFmtId="0" fontId="2" fillId="15" borderId="19" xfId="0" applyFont="1" applyFill="1" applyBorder="1" applyAlignment="1" applyProtection="1">
      <alignment vertical="center" shrinkToFit="1" readingOrder="2"/>
      <protection hidden="1"/>
    </xf>
    <xf numFmtId="0" fontId="2" fillId="15" borderId="20" xfId="0" applyFont="1" applyFill="1" applyBorder="1" applyAlignment="1" applyProtection="1">
      <alignment vertical="center" shrinkToFit="1" readingOrder="2"/>
      <protection hidden="1"/>
    </xf>
    <xf numFmtId="0" fontId="2" fillId="2" borderId="56" xfId="0" applyFont="1" applyFill="1" applyBorder="1" applyAlignment="1" applyProtection="1">
      <alignment vertical="center" shrinkToFit="1" readingOrder="2"/>
      <protection hidden="1"/>
    </xf>
    <xf numFmtId="0" fontId="2" fillId="2" borderId="25" xfId="0" applyFont="1" applyFill="1" applyBorder="1" applyAlignment="1" applyProtection="1">
      <alignment vertical="center" shrinkToFit="1" readingOrder="2"/>
      <protection hidden="1"/>
    </xf>
    <xf numFmtId="0" fontId="2" fillId="2" borderId="58" xfId="0" applyFont="1" applyFill="1" applyBorder="1" applyAlignment="1" applyProtection="1">
      <alignment vertical="center" shrinkToFit="1" readingOrder="2"/>
      <protection hidden="1"/>
    </xf>
    <xf numFmtId="0" fontId="2" fillId="2" borderId="10" xfId="0" applyFont="1" applyFill="1" applyBorder="1" applyAlignment="1" applyProtection="1">
      <alignment horizontal="right" vertical="center" shrinkToFit="1" readingOrder="2"/>
      <protection hidden="1"/>
    </xf>
    <xf numFmtId="0" fontId="2" fillId="2" borderId="30" xfId="0" applyFont="1" applyFill="1" applyBorder="1" applyAlignment="1" applyProtection="1">
      <alignment horizontal="right" vertical="center" shrinkToFit="1" readingOrder="2"/>
      <protection hidden="1"/>
    </xf>
    <xf numFmtId="0" fontId="2" fillId="2" borderId="19" xfId="0" applyFont="1" applyFill="1" applyBorder="1" applyAlignment="1" applyProtection="1">
      <alignment horizontal="right" vertical="center" shrinkToFit="1" readingOrder="2"/>
      <protection hidden="1"/>
    </xf>
    <xf numFmtId="0" fontId="21" fillId="0" borderId="57" xfId="0" applyFont="1" applyBorder="1" applyAlignment="1" applyProtection="1">
      <alignment horizontal="center" vertical="center" shrinkToFit="1"/>
      <protection hidden="1"/>
    </xf>
    <xf numFmtId="0" fontId="21" fillId="0" borderId="0" xfId="0" applyFont="1" applyAlignment="1" applyProtection="1">
      <alignment horizontal="center" vertical="center" shrinkToFit="1"/>
      <protection hidden="1"/>
    </xf>
    <xf numFmtId="0" fontId="2" fillId="2" borderId="60" xfId="0" applyFont="1" applyFill="1" applyBorder="1" applyAlignment="1" applyProtection="1">
      <alignment horizontal="right" vertical="center" shrinkToFit="1" readingOrder="2"/>
      <protection hidden="1"/>
    </xf>
    <xf numFmtId="0" fontId="2" fillId="2" borderId="50" xfId="0" applyFont="1" applyFill="1" applyBorder="1" applyAlignment="1" applyProtection="1">
      <alignment horizontal="right" vertical="center" shrinkToFit="1" readingOrder="2"/>
      <protection hidden="1"/>
    </xf>
    <xf numFmtId="0" fontId="2" fillId="2" borderId="61" xfId="0" applyFont="1" applyFill="1" applyBorder="1" applyAlignment="1" applyProtection="1">
      <alignment horizontal="right" vertical="center" shrinkToFit="1" readingOrder="2"/>
      <protection hidden="1"/>
    </xf>
    <xf numFmtId="0" fontId="30" fillId="2" borderId="57" xfId="0" applyFont="1" applyFill="1" applyBorder="1" applyAlignment="1" applyProtection="1">
      <alignment horizontal="center" vertical="center" shrinkToFit="1"/>
      <protection hidden="1"/>
    </xf>
    <xf numFmtId="0" fontId="30" fillId="2" borderId="0" xfId="0" applyFont="1" applyFill="1" applyAlignment="1" applyProtection="1">
      <alignment horizontal="center" vertical="center" shrinkToFit="1"/>
      <protection hidden="1"/>
    </xf>
    <xf numFmtId="0" fontId="31" fillId="2" borderId="57" xfId="1" applyFont="1" applyFill="1" applyBorder="1" applyAlignment="1" applyProtection="1">
      <alignment horizontal="center" vertical="center" shrinkToFit="1"/>
      <protection hidden="1"/>
    </xf>
    <xf numFmtId="0" fontId="32" fillId="2" borderId="0" xfId="1" applyFont="1" applyFill="1" applyBorder="1" applyAlignment="1" applyProtection="1">
      <alignment horizontal="center" vertical="center" shrinkToFit="1"/>
      <protection hidden="1"/>
    </xf>
    <xf numFmtId="0" fontId="31" fillId="2" borderId="0" xfId="1" applyFont="1" applyFill="1" applyBorder="1" applyAlignment="1" applyProtection="1">
      <alignment horizontal="center" vertical="center" shrinkToFit="1"/>
      <protection hidden="1"/>
    </xf>
    <xf numFmtId="0" fontId="1" fillId="2" borderId="0" xfId="0" applyFont="1" applyFill="1" applyAlignment="1" applyProtection="1">
      <alignment horizontal="right" vertical="center" shrinkToFit="1" readingOrder="2"/>
      <protection hidden="1"/>
    </xf>
    <xf numFmtId="0" fontId="1" fillId="2" borderId="29" xfId="0" applyFont="1" applyFill="1" applyBorder="1" applyAlignment="1" applyProtection="1">
      <alignment horizontal="right" vertical="center" shrinkToFit="1" readingOrder="2"/>
      <protection hidden="1"/>
    </xf>
    <xf numFmtId="0" fontId="2" fillId="2" borderId="28" xfId="0" applyFont="1" applyFill="1" applyBorder="1" applyAlignment="1" applyProtection="1">
      <alignment horizontal="right" vertical="top" shrinkToFit="1" readingOrder="2"/>
      <protection hidden="1"/>
    </xf>
    <xf numFmtId="0" fontId="2" fillId="2" borderId="59" xfId="0" applyFont="1" applyFill="1" applyBorder="1" applyAlignment="1" applyProtection="1">
      <alignment horizontal="right" vertical="top" shrinkToFit="1" readingOrder="2"/>
      <protection hidden="1"/>
    </xf>
    <xf numFmtId="0" fontId="2" fillId="2" borderId="30" xfId="0" applyFont="1" applyFill="1" applyBorder="1" applyAlignment="1" applyProtection="1">
      <alignment horizontal="right" vertical="top" shrinkToFit="1" readingOrder="2"/>
      <protection hidden="1"/>
    </xf>
    <xf numFmtId="0" fontId="2" fillId="2" borderId="58" xfId="0" applyFont="1" applyFill="1" applyBorder="1" applyAlignment="1" applyProtection="1">
      <alignment horizontal="right" vertical="top" shrinkToFit="1" readingOrder="2"/>
      <protection hidden="1"/>
    </xf>
    <xf numFmtId="0" fontId="2" fillId="2" borderId="57" xfId="0" applyFont="1" applyFill="1" applyBorder="1" applyAlignment="1" applyProtection="1">
      <alignment horizontal="right" vertical="center" shrinkToFit="1" readingOrder="2"/>
      <protection hidden="1"/>
    </xf>
    <xf numFmtId="0" fontId="2" fillId="2" borderId="0" xfId="0" applyFont="1" applyFill="1" applyAlignment="1" applyProtection="1">
      <alignment horizontal="right" vertical="center" shrinkToFit="1" readingOrder="2"/>
      <protection hidden="1"/>
    </xf>
    <xf numFmtId="0" fontId="2" fillId="2" borderId="56" xfId="0" applyFont="1" applyFill="1" applyBorder="1" applyAlignment="1" applyProtection="1">
      <alignment horizontal="right" vertical="center" shrinkToFit="1" readingOrder="2"/>
      <protection hidden="1"/>
    </xf>
    <xf numFmtId="0" fontId="2" fillId="2" borderId="25" xfId="0" applyFont="1" applyFill="1" applyBorder="1" applyAlignment="1" applyProtection="1">
      <alignment horizontal="right" vertical="center" shrinkToFit="1" readingOrder="2"/>
      <protection hidden="1"/>
    </xf>
    <xf numFmtId="0" fontId="1" fillId="9" borderId="19" xfId="0" applyFont="1" applyFill="1" applyBorder="1" applyAlignment="1" applyProtection="1">
      <alignment vertical="center" shrinkToFit="1" readingOrder="2"/>
      <protection hidden="1"/>
    </xf>
    <xf numFmtId="0" fontId="1" fillId="9" borderId="22" xfId="0" applyFont="1" applyFill="1" applyBorder="1" applyAlignment="1" applyProtection="1">
      <alignment vertical="center" shrinkToFit="1" readingOrder="2"/>
      <protection hidden="1"/>
    </xf>
    <xf numFmtId="0" fontId="1" fillId="9" borderId="20" xfId="0" applyFont="1" applyFill="1" applyBorder="1" applyAlignment="1" applyProtection="1">
      <alignment vertical="center" shrinkToFit="1" readingOrder="2"/>
      <protection hidden="1"/>
    </xf>
    <xf numFmtId="0" fontId="28" fillId="2" borderId="57" xfId="0" applyFont="1" applyFill="1" applyBorder="1" applyAlignment="1" applyProtection="1">
      <alignment horizontal="center" vertical="center" shrinkToFit="1"/>
      <protection hidden="1"/>
    </xf>
    <xf numFmtId="0" fontId="28" fillId="2" borderId="0" xfId="0" applyFont="1" applyFill="1" applyAlignment="1" applyProtection="1">
      <alignment horizontal="center" vertical="center" shrinkToFit="1"/>
      <protection hidden="1"/>
    </xf>
    <xf numFmtId="0" fontId="22" fillId="2" borderId="57" xfId="1" applyFont="1" applyFill="1" applyBorder="1" applyAlignment="1" applyProtection="1">
      <alignment horizontal="center" vertical="center" shrinkToFit="1"/>
      <protection hidden="1"/>
    </xf>
    <xf numFmtId="0" fontId="23" fillId="2" borderId="0" xfId="1" applyFont="1" applyFill="1" applyBorder="1" applyAlignment="1" applyProtection="1">
      <alignment horizontal="center" vertical="center" shrinkToFit="1"/>
      <protection hidden="1"/>
    </xf>
    <xf numFmtId="0" fontId="29" fillId="2" borderId="57" xfId="1" applyFont="1" applyFill="1" applyBorder="1" applyAlignment="1" applyProtection="1">
      <alignment horizontal="center" vertical="center" shrinkToFit="1"/>
      <protection hidden="1"/>
    </xf>
    <xf numFmtId="0" fontId="29" fillId="2" borderId="0" xfId="1" applyFont="1" applyFill="1" applyBorder="1" applyAlignment="1" applyProtection="1">
      <alignment horizontal="center" vertical="center" shrinkToFit="1"/>
      <protection hidden="1"/>
    </xf>
    <xf numFmtId="0" fontId="21" fillId="0" borderId="57"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2" fontId="2" fillId="2" borderId="57" xfId="0" applyNumberFormat="1" applyFont="1" applyFill="1" applyBorder="1" applyAlignment="1" applyProtection="1">
      <alignment horizontal="center" vertical="top" wrapText="1" shrinkToFit="1" readingOrder="2"/>
      <protection hidden="1"/>
    </xf>
    <xf numFmtId="2" fontId="2" fillId="2" borderId="29" xfId="0" applyNumberFormat="1" applyFont="1" applyFill="1" applyBorder="1" applyAlignment="1" applyProtection="1">
      <alignment horizontal="center" vertical="top" wrapText="1" shrinkToFit="1" readingOrder="2"/>
      <protection hidden="1"/>
    </xf>
    <xf numFmtId="0" fontId="49" fillId="24" borderId="63" xfId="0" applyFont="1" applyFill="1" applyBorder="1" applyAlignment="1" applyProtection="1">
      <alignment horizontal="center" vertical="center" shrinkToFit="1"/>
      <protection hidden="1"/>
    </xf>
    <xf numFmtId="0" fontId="1" fillId="3" borderId="7" xfId="0" applyFont="1" applyFill="1" applyBorder="1" applyAlignment="1" applyProtection="1">
      <alignment horizontal="center" vertical="center" shrinkToFit="1"/>
      <protection hidden="1"/>
    </xf>
    <xf numFmtId="0" fontId="18" fillId="7" borderId="7" xfId="0" applyFont="1" applyFill="1" applyBorder="1" applyAlignment="1" applyProtection="1">
      <alignment horizontal="center" vertical="center" wrapText="1" shrinkToFit="1"/>
      <protection hidden="1"/>
    </xf>
    <xf numFmtId="0" fontId="18" fillId="7" borderId="7" xfId="0" applyFont="1" applyFill="1" applyBorder="1" applyAlignment="1" applyProtection="1">
      <alignment horizontal="center" vertical="center" shrinkToFit="1"/>
      <protection hidden="1"/>
    </xf>
    <xf numFmtId="0" fontId="5" fillId="12" borderId="13" xfId="0" applyFont="1" applyFill="1" applyBorder="1" applyAlignment="1" applyProtection="1">
      <alignment horizontal="center"/>
      <protection hidden="1"/>
    </xf>
    <xf numFmtId="0" fontId="5" fillId="12" borderId="14" xfId="0" applyFont="1" applyFill="1" applyBorder="1" applyAlignment="1" applyProtection="1">
      <alignment horizontal="center"/>
      <protection hidden="1"/>
    </xf>
    <xf numFmtId="0" fontId="5" fillId="14" borderId="13" xfId="0" applyFont="1" applyFill="1" applyBorder="1" applyAlignment="1" applyProtection="1">
      <alignment horizontal="center"/>
      <protection hidden="1"/>
    </xf>
    <xf numFmtId="0" fontId="5" fillId="14" borderId="14" xfId="0" applyFont="1" applyFill="1" applyBorder="1" applyAlignment="1" applyProtection="1">
      <alignment horizontal="center"/>
      <protection hidden="1"/>
    </xf>
    <xf numFmtId="0" fontId="5" fillId="7" borderId="1" xfId="0" applyFont="1" applyFill="1" applyBorder="1" applyAlignment="1" applyProtection="1">
      <alignment horizontal="center"/>
      <protection hidden="1"/>
    </xf>
    <xf numFmtId="0" fontId="5" fillId="7" borderId="8" xfId="0" applyFont="1" applyFill="1" applyBorder="1" applyAlignment="1" applyProtection="1">
      <alignment horizontal="center"/>
      <protection hidden="1"/>
    </xf>
    <xf numFmtId="0" fontId="5" fillId="7" borderId="2" xfId="0" applyFont="1" applyFill="1" applyBorder="1" applyAlignment="1" applyProtection="1">
      <alignment horizontal="center"/>
      <protection hidden="1"/>
    </xf>
    <xf numFmtId="0" fontId="5" fillId="3" borderId="33" xfId="0" applyFont="1" applyFill="1" applyBorder="1" applyAlignment="1" applyProtection="1">
      <alignment horizontal="center"/>
      <protection hidden="1"/>
    </xf>
    <xf numFmtId="0" fontId="5" fillId="3" borderId="38" xfId="0" applyFont="1" applyFill="1" applyBorder="1" applyAlignment="1" applyProtection="1">
      <alignment horizontal="center"/>
      <protection hidden="1"/>
    </xf>
    <xf numFmtId="0" fontId="5" fillId="0" borderId="1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19" fillId="15" borderId="0" xfId="0" applyFont="1" applyFill="1" applyAlignment="1" applyProtection="1">
      <alignment horizontal="center" shrinkToFit="1"/>
      <protection hidden="1"/>
    </xf>
    <xf numFmtId="0" fontId="19" fillId="15" borderId="0" xfId="0" applyFont="1" applyFill="1" applyAlignment="1" applyProtection="1">
      <alignment horizontal="center" wrapText="1" shrinkToFit="1"/>
      <protection hidden="1"/>
    </xf>
    <xf numFmtId="0" fontId="19" fillId="15" borderId="51" xfId="0" applyFont="1" applyFill="1" applyBorder="1" applyAlignment="1" applyProtection="1">
      <alignment horizontal="center" wrapText="1"/>
      <protection hidden="1"/>
    </xf>
    <xf numFmtId="0" fontId="19" fillId="15" borderId="50" xfId="0" applyFont="1" applyFill="1" applyBorder="1" applyAlignment="1" applyProtection="1">
      <alignment horizontal="center" wrapText="1"/>
      <protection hidden="1"/>
    </xf>
    <xf numFmtId="0" fontId="25" fillId="19" borderId="52" xfId="0" applyFont="1" applyFill="1" applyBorder="1" applyAlignment="1" applyProtection="1">
      <alignment horizontal="center" vertical="center" shrinkToFit="1"/>
      <protection hidden="1"/>
    </xf>
    <xf numFmtId="0" fontId="25" fillId="19" borderId="55" xfId="0" applyFont="1" applyFill="1" applyBorder="1" applyAlignment="1" applyProtection="1">
      <alignment horizontal="center" vertical="center" shrinkToFit="1"/>
      <protection hidden="1"/>
    </xf>
    <xf numFmtId="0" fontId="35" fillId="22" borderId="1" xfId="0" applyFont="1" applyFill="1" applyBorder="1" applyAlignment="1" applyProtection="1">
      <alignment horizontal="center" vertical="center" wrapText="1" shrinkToFit="1"/>
      <protection hidden="1"/>
    </xf>
    <xf numFmtId="0" fontId="35" fillId="22" borderId="2" xfId="0" applyFont="1" applyFill="1" applyBorder="1" applyAlignment="1" applyProtection="1">
      <alignment horizontal="center" vertical="center" shrinkToFit="1"/>
      <protection hidden="1"/>
    </xf>
    <xf numFmtId="0" fontId="7" fillId="2" borderId="0" xfId="1" applyFill="1" applyBorder="1" applyAlignment="1" applyProtection="1">
      <alignment horizontal="center" vertical="center" shrinkToFit="1" readingOrder="2"/>
      <protection hidden="1"/>
    </xf>
    <xf numFmtId="0" fontId="41" fillId="2" borderId="0" xfId="0" applyFont="1" applyFill="1" applyAlignment="1" applyProtection="1">
      <alignment horizontal="center" vertical="center" shrinkToFit="1" readingOrder="2"/>
      <protection hidden="1"/>
    </xf>
    <xf numFmtId="0" fontId="42" fillId="2" borderId="0" xfId="0" applyFont="1" applyFill="1" applyAlignment="1" applyProtection="1">
      <alignment horizontal="center" vertical="center" shrinkToFit="1" readingOrder="2"/>
      <protection hidden="1"/>
    </xf>
    <xf numFmtId="0" fontId="1" fillId="8" borderId="1" xfId="0" applyFont="1" applyFill="1" applyBorder="1" applyAlignment="1" applyProtection="1">
      <alignment horizontal="center" vertical="center" shrinkToFit="1" readingOrder="2"/>
      <protection hidden="1"/>
    </xf>
    <xf numFmtId="0" fontId="1" fillId="8" borderId="8" xfId="0" applyFont="1" applyFill="1" applyBorder="1" applyAlignment="1" applyProtection="1">
      <alignment horizontal="center" vertical="center" shrinkToFit="1" readingOrder="2"/>
      <protection hidden="1"/>
    </xf>
    <xf numFmtId="0" fontId="1" fillId="8" borderId="3" xfId="0" applyFont="1" applyFill="1" applyBorder="1" applyAlignment="1" applyProtection="1">
      <alignment horizontal="center" vertical="center" shrinkToFit="1" readingOrder="2"/>
      <protection hidden="1"/>
    </xf>
    <xf numFmtId="0" fontId="1" fillId="8" borderId="9" xfId="0" applyFont="1" applyFill="1" applyBorder="1" applyAlignment="1" applyProtection="1">
      <alignment horizontal="center" vertical="center" shrinkToFit="1" readingOrder="2"/>
      <protection hidden="1"/>
    </xf>
    <xf numFmtId="2" fontId="40" fillId="2" borderId="0" xfId="1" applyNumberFormat="1" applyFont="1" applyFill="1" applyBorder="1" applyAlignment="1" applyProtection="1">
      <alignment horizontal="center" wrapText="1" shrinkToFit="1" readingOrder="2"/>
      <protection hidden="1"/>
    </xf>
    <xf numFmtId="0" fontId="1" fillId="8" borderId="5" xfId="0" applyFont="1" applyFill="1" applyBorder="1" applyAlignment="1" applyProtection="1">
      <alignment horizontal="center" vertical="center" shrinkToFit="1" readingOrder="2"/>
      <protection hidden="1"/>
    </xf>
    <xf numFmtId="0" fontId="1" fillId="8" borderId="7" xfId="0" applyFont="1" applyFill="1" applyBorder="1" applyAlignment="1" applyProtection="1">
      <alignment horizontal="center" vertical="center" shrinkToFit="1" readingOrder="2"/>
      <protection hidden="1"/>
    </xf>
    <xf numFmtId="0" fontId="1" fillId="8" borderId="10" xfId="0" applyFont="1" applyFill="1" applyBorder="1" applyAlignment="1" applyProtection="1">
      <alignment horizontal="center" vertical="center" shrinkToFit="1" readingOrder="2"/>
      <protection hidden="1"/>
    </xf>
    <xf numFmtId="0" fontId="1" fillId="8" borderId="11" xfId="0" applyFont="1" applyFill="1" applyBorder="1" applyAlignment="1" applyProtection="1">
      <alignment horizontal="center" vertical="center" shrinkToFit="1" readingOrder="2"/>
      <protection hidden="1"/>
    </xf>
    <xf numFmtId="0" fontId="36" fillId="2" borderId="0" xfId="0" applyFont="1" applyFill="1" applyAlignment="1" applyProtection="1">
      <alignment horizontal="center" readingOrder="2"/>
      <protection hidden="1"/>
    </xf>
    <xf numFmtId="0" fontId="38" fillId="2" borderId="0" xfId="0" applyFont="1" applyFill="1" applyAlignment="1" applyProtection="1">
      <alignment horizontal="center" vertical="center" readingOrder="2"/>
      <protection hidden="1"/>
    </xf>
    <xf numFmtId="0" fontId="8" fillId="2" borderId="0" xfId="0" applyFont="1" applyFill="1" applyAlignment="1" applyProtection="1">
      <alignment horizontal="center" vertical="center" readingOrder="2"/>
      <protection hidden="1"/>
    </xf>
    <xf numFmtId="0" fontId="1" fillId="7" borderId="13" xfId="0" applyFont="1" applyFill="1" applyBorder="1" applyAlignment="1" applyProtection="1">
      <alignment horizontal="center" vertical="center" shrinkToFit="1" readingOrder="2"/>
      <protection hidden="1"/>
    </xf>
    <xf numFmtId="0" fontId="1" fillId="7" borderId="14" xfId="0" applyFont="1" applyFill="1" applyBorder="1" applyAlignment="1" applyProtection="1">
      <alignment horizontal="center" vertical="center" shrinkToFit="1" readingOrder="2"/>
      <protection hidden="1"/>
    </xf>
    <xf numFmtId="0" fontId="1" fillId="6" borderId="17" xfId="0" applyFont="1" applyFill="1" applyBorder="1" applyAlignment="1" applyProtection="1">
      <alignment horizontal="center" vertical="center" shrinkToFit="1" readingOrder="2"/>
      <protection hidden="1"/>
    </xf>
    <xf numFmtId="0" fontId="1" fillId="6" borderId="16" xfId="0" applyFont="1" applyFill="1" applyBorder="1" applyAlignment="1" applyProtection="1">
      <alignment horizontal="center" vertical="center" shrinkToFit="1" readingOrder="2"/>
      <protection hidden="1"/>
    </xf>
    <xf numFmtId="0" fontId="1" fillId="6" borderId="18" xfId="0" applyFont="1" applyFill="1" applyBorder="1" applyAlignment="1" applyProtection="1">
      <alignment horizontal="center" vertical="center" shrinkToFit="1" readingOrder="2"/>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37</xdr:row>
      <xdr:rowOff>190499</xdr:rowOff>
    </xdr:from>
    <xdr:to>
      <xdr:col>1</xdr:col>
      <xdr:colOff>1255659</xdr:colOff>
      <xdr:row>41</xdr:row>
      <xdr:rowOff>56504</xdr:rowOff>
    </xdr:to>
    <xdr:pic>
      <xdr:nvPicPr>
        <xdr:cNvPr id="2" name="Picture 1">
          <a:extLst>
            <a:ext uri="{FF2B5EF4-FFF2-40B4-BE49-F238E27FC236}">
              <a16:creationId xmlns:a16="http://schemas.microsoft.com/office/drawing/2014/main" id="{E0BEE2A3-1C3C-413B-A712-E910D543FF6D}"/>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rot="19679946">
          <a:off x="9835268991" y="9705974"/>
          <a:ext cx="1027059" cy="9328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219075</xdr:colOff>
      <xdr:row>36</xdr:row>
      <xdr:rowOff>161926</xdr:rowOff>
    </xdr:from>
    <xdr:to>
      <xdr:col>1</xdr:col>
      <xdr:colOff>1246134</xdr:colOff>
      <xdr:row>40</xdr:row>
      <xdr:rowOff>27931</xdr:rowOff>
    </xdr:to>
    <xdr:pic>
      <xdr:nvPicPr>
        <xdr:cNvPr id="2" name="Picture 1">
          <a:extLst>
            <a:ext uri="{FF2B5EF4-FFF2-40B4-BE49-F238E27FC236}">
              <a16:creationId xmlns:a16="http://schemas.microsoft.com/office/drawing/2014/main" id="{2A313E17-E2EE-4CEF-A759-CE9ECA790B7D}"/>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rot="19679946">
          <a:off x="9839088516" y="9410701"/>
          <a:ext cx="1027059" cy="9328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stagram.com/shenasname" TargetMode="External"/><Relationship Id="rId3" Type="http://schemas.openxmlformats.org/officeDocument/2006/relationships/hyperlink" Target="http://t.me/+eRSSofhaSpo4ZGNk" TargetMode="External"/><Relationship Id="rId7" Type="http://schemas.openxmlformats.org/officeDocument/2006/relationships/hyperlink" Target="https://t.me/+O9drn50sOi6AleRq" TargetMode="External"/><Relationship Id="rId2" Type="http://schemas.openxmlformats.org/officeDocument/2006/relationships/hyperlink" Target="https://eitaa.com/sayah_shahdi" TargetMode="External"/><Relationship Id="rId1" Type="http://schemas.openxmlformats.org/officeDocument/2006/relationships/hyperlink" Target="https://ble.ir/sayahshahdi" TargetMode="External"/><Relationship Id="rId6" Type="http://schemas.openxmlformats.org/officeDocument/2006/relationships/hyperlink" Target="http://ble.ir/join/YTMxZmZhMz" TargetMode="External"/><Relationship Id="rId5" Type="http://schemas.openxmlformats.org/officeDocument/2006/relationships/hyperlink" Target="https://ble.ir/sayahshahdi" TargetMode="External"/><Relationship Id="rId10" Type="http://schemas.openxmlformats.org/officeDocument/2006/relationships/printerSettings" Target="../printerSettings/printerSettings1.bin"/><Relationship Id="rId4" Type="http://schemas.openxmlformats.org/officeDocument/2006/relationships/hyperlink" Target="https://www.instagram.com/shenasname" TargetMode="External"/><Relationship Id="rId9" Type="http://schemas.openxmlformats.org/officeDocument/2006/relationships/hyperlink" Target="https://eitaa.com/joinchat/1523318784C8518e3925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henasname.i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92D050"/>
    <pageSetUpPr fitToPage="1"/>
  </sheetPr>
  <dimension ref="B1:G46"/>
  <sheetViews>
    <sheetView showGridLines="0" showRowColHeaders="0" rightToLeft="1" tabSelected="1" topLeftCell="A17" zoomScaleNormal="100" workbookViewId="0">
      <selection activeCell="E26" sqref="E26"/>
    </sheetView>
  </sheetViews>
  <sheetFormatPr defaultColWidth="9" defaultRowHeight="18"/>
  <cols>
    <col min="1" max="1" width="3.7109375" style="51" customWidth="1"/>
    <col min="2" max="2" width="52.42578125" style="79" customWidth="1"/>
    <col min="3" max="3" width="15.7109375" style="79" customWidth="1"/>
    <col min="4" max="4" width="5.140625" style="79" customWidth="1"/>
    <col min="5" max="5" width="50.7109375" style="79" customWidth="1"/>
    <col min="6" max="6" width="15.7109375" style="79" customWidth="1"/>
    <col min="7" max="7" width="9" style="51"/>
    <col min="8" max="8" width="35.28515625" style="51" customWidth="1"/>
    <col min="9" max="9" width="39.140625" style="51" customWidth="1"/>
    <col min="10" max="20" width="59" style="51" customWidth="1"/>
    <col min="21" max="16384" width="9" style="51"/>
  </cols>
  <sheetData>
    <row r="1" spans="2:7" ht="27.75" customHeight="1">
      <c r="B1" s="310" t="s">
        <v>257</v>
      </c>
      <c r="C1" s="310"/>
      <c r="D1" s="310"/>
      <c r="E1" s="310"/>
      <c r="F1" s="310"/>
      <c r="G1" s="188"/>
    </row>
    <row r="2" spans="2:7" ht="43.5" customHeight="1">
      <c r="B2" s="311" t="s">
        <v>267</v>
      </c>
      <c r="C2" s="312"/>
      <c r="D2" s="312"/>
      <c r="E2" s="312"/>
      <c r="F2" s="312"/>
      <c r="G2" s="188"/>
    </row>
    <row r="3" spans="2:7" ht="27" customHeight="1">
      <c r="B3" s="313" t="s">
        <v>260</v>
      </c>
      <c r="C3" s="313"/>
      <c r="D3" s="313"/>
      <c r="E3" s="313"/>
      <c r="F3" s="313"/>
      <c r="G3" s="188"/>
    </row>
    <row r="4" spans="2:7" ht="27" customHeight="1">
      <c r="B4" s="309" t="s">
        <v>258</v>
      </c>
      <c r="C4" s="309"/>
      <c r="D4" s="184"/>
      <c r="E4" s="309" t="s">
        <v>259</v>
      </c>
      <c r="F4" s="309"/>
      <c r="G4" s="188"/>
    </row>
    <row r="5" spans="2:7" ht="27" customHeight="1">
      <c r="B5" s="279" t="s">
        <v>14</v>
      </c>
      <c r="C5" s="280" t="s">
        <v>0</v>
      </c>
      <c r="D5" s="184"/>
      <c r="E5" s="279" t="s">
        <v>14</v>
      </c>
      <c r="F5" s="280" t="s">
        <v>1</v>
      </c>
      <c r="G5" s="188"/>
    </row>
    <row r="6" spans="2:7" ht="27" customHeight="1" thickBot="1">
      <c r="B6" s="281" t="s">
        <v>177</v>
      </c>
      <c r="C6" s="287"/>
      <c r="D6" s="184"/>
      <c r="E6" s="281" t="s">
        <v>187</v>
      </c>
      <c r="F6" s="282">
        <v>0</v>
      </c>
      <c r="G6" s="188"/>
    </row>
    <row r="7" spans="2:7" ht="27" customHeight="1" thickBot="1">
      <c r="B7" s="283" t="s">
        <v>178</v>
      </c>
      <c r="C7" s="288">
        <v>0</v>
      </c>
      <c r="D7" s="184"/>
      <c r="E7" s="283" t="s">
        <v>188</v>
      </c>
      <c r="F7" s="284">
        <v>0</v>
      </c>
      <c r="G7" s="188"/>
    </row>
    <row r="8" spans="2:7" ht="27" customHeight="1" thickBot="1">
      <c r="B8" s="283" t="s">
        <v>179</v>
      </c>
      <c r="C8" s="288">
        <v>0</v>
      </c>
      <c r="D8" s="184"/>
      <c r="E8" s="283" t="s">
        <v>189</v>
      </c>
      <c r="F8" s="284">
        <v>0</v>
      </c>
      <c r="G8" s="188"/>
    </row>
    <row r="9" spans="2:7" ht="27" customHeight="1" thickBot="1">
      <c r="B9" s="283" t="s">
        <v>180</v>
      </c>
      <c r="C9" s="288">
        <v>0</v>
      </c>
      <c r="D9" s="184"/>
      <c r="E9" s="283" t="s">
        <v>190</v>
      </c>
      <c r="F9" s="284">
        <v>0</v>
      </c>
      <c r="G9" s="188"/>
    </row>
    <row r="10" spans="2:7" ht="27" customHeight="1" thickBot="1">
      <c r="B10" s="283" t="s">
        <v>181</v>
      </c>
      <c r="C10" s="288">
        <v>0</v>
      </c>
      <c r="D10" s="184"/>
      <c r="E10" s="283" t="s">
        <v>223</v>
      </c>
      <c r="F10" s="284">
        <v>0</v>
      </c>
      <c r="G10" s="188"/>
    </row>
    <row r="11" spans="2:7" ht="27" customHeight="1" thickBot="1">
      <c r="B11" s="283" t="s">
        <v>182</v>
      </c>
      <c r="C11" s="288">
        <v>0</v>
      </c>
      <c r="D11" s="184"/>
      <c r="E11" s="283" t="s">
        <v>191</v>
      </c>
      <c r="F11" s="284">
        <v>0</v>
      </c>
      <c r="G11" s="188"/>
    </row>
    <row r="12" spans="2:7" ht="27" customHeight="1" thickBot="1">
      <c r="B12" s="283" t="s">
        <v>183</v>
      </c>
      <c r="C12" s="288">
        <v>0</v>
      </c>
      <c r="D12" s="184"/>
      <c r="E12" s="283" t="s">
        <v>192</v>
      </c>
      <c r="F12" s="284">
        <v>0</v>
      </c>
      <c r="G12" s="188"/>
    </row>
    <row r="13" spans="2:7" ht="27" customHeight="1" thickBot="1">
      <c r="B13" s="283" t="s">
        <v>184</v>
      </c>
      <c r="C13" s="288">
        <v>0</v>
      </c>
      <c r="D13" s="184"/>
      <c r="E13" s="283" t="s">
        <v>193</v>
      </c>
      <c r="F13" s="284">
        <v>0</v>
      </c>
      <c r="G13" s="188"/>
    </row>
    <row r="14" spans="2:7" ht="27" customHeight="1">
      <c r="B14" s="285" t="s">
        <v>279</v>
      </c>
      <c r="C14" s="289">
        <v>0</v>
      </c>
      <c r="D14" s="184"/>
      <c r="E14" s="285" t="s">
        <v>194</v>
      </c>
      <c r="F14" s="286">
        <v>0</v>
      </c>
      <c r="G14" s="188"/>
    </row>
    <row r="15" spans="2:7" ht="27" customHeight="1">
      <c r="B15" s="309" t="s">
        <v>283</v>
      </c>
      <c r="C15" s="309"/>
      <c r="D15" s="184"/>
      <c r="E15" s="309" t="s">
        <v>73</v>
      </c>
      <c r="F15" s="309"/>
      <c r="G15" s="188"/>
    </row>
    <row r="16" spans="2:7" ht="27" customHeight="1" thickBot="1">
      <c r="B16" s="281" t="s">
        <v>288</v>
      </c>
      <c r="C16" s="287" t="s">
        <v>13</v>
      </c>
      <c r="D16" s="184"/>
      <c r="E16" s="292" t="s">
        <v>252</v>
      </c>
      <c r="F16" s="293" t="s">
        <v>75</v>
      </c>
      <c r="G16" s="188"/>
    </row>
    <row r="17" spans="2:7" ht="27" customHeight="1" thickBot="1">
      <c r="B17" s="285" t="s">
        <v>269</v>
      </c>
      <c r="C17" s="289">
        <v>0</v>
      </c>
      <c r="D17" s="184"/>
      <c r="E17" s="294" t="s">
        <v>74</v>
      </c>
      <c r="F17" s="295" t="s">
        <v>75</v>
      </c>
      <c r="G17" s="188"/>
    </row>
    <row r="18" spans="2:7" ht="27" customHeight="1">
      <c r="B18" s="309" t="s">
        <v>248</v>
      </c>
      <c r="C18" s="309"/>
      <c r="D18" s="184"/>
      <c r="E18" s="296" t="s">
        <v>266</v>
      </c>
      <c r="F18" s="297" t="s">
        <v>75</v>
      </c>
      <c r="G18" s="188"/>
    </row>
    <row r="19" spans="2:7" ht="27" customHeight="1">
      <c r="B19" s="290" t="s">
        <v>268</v>
      </c>
      <c r="C19" s="291">
        <v>0</v>
      </c>
      <c r="D19" s="184"/>
      <c r="E19" s="306" t="s">
        <v>289</v>
      </c>
      <c r="F19" s="306"/>
      <c r="G19" s="188"/>
    </row>
    <row r="20" spans="2:7" ht="27" customHeight="1">
      <c r="B20" s="309" t="s">
        <v>199</v>
      </c>
      <c r="C20" s="309"/>
      <c r="D20" s="184"/>
      <c r="G20" s="188"/>
    </row>
    <row r="21" spans="2:7" ht="27" customHeight="1">
      <c r="B21" s="290" t="s">
        <v>237</v>
      </c>
      <c r="C21" s="291" t="s">
        <v>13</v>
      </c>
      <c r="D21" s="184"/>
      <c r="E21" s="307" t="s">
        <v>290</v>
      </c>
      <c r="F21" s="308"/>
      <c r="G21" s="188"/>
    </row>
    <row r="22" spans="2:7" ht="27" customHeight="1">
      <c r="B22" s="309" t="s">
        <v>278</v>
      </c>
      <c r="C22" s="309"/>
      <c r="D22" s="185"/>
      <c r="E22" s="305" t="s">
        <v>284</v>
      </c>
      <c r="F22" s="305"/>
      <c r="G22" s="188"/>
    </row>
    <row r="23" spans="2:7" ht="27" customHeight="1">
      <c r="B23" s="273" t="s">
        <v>238</v>
      </c>
      <c r="C23" s="274" t="s">
        <v>12</v>
      </c>
      <c r="E23" s="303" t="s">
        <v>285</v>
      </c>
      <c r="F23" s="303"/>
    </row>
    <row r="24" spans="2:7" ht="27" customHeight="1">
      <c r="B24" s="275" t="s">
        <v>29</v>
      </c>
      <c r="C24" s="276" t="s">
        <v>32</v>
      </c>
      <c r="E24" s="304" t="s">
        <v>286</v>
      </c>
      <c r="F24" s="304"/>
    </row>
    <row r="25" spans="2:7" ht="27" customHeight="1">
      <c r="B25" s="275" t="s">
        <v>261</v>
      </c>
      <c r="C25" s="276">
        <v>0</v>
      </c>
      <c r="D25" s="186"/>
      <c r="E25" s="303" t="s">
        <v>291</v>
      </c>
      <c r="F25" s="303"/>
      <c r="G25" s="79"/>
    </row>
    <row r="26" spans="2:7" ht="27" customHeight="1">
      <c r="B26" s="277" t="s">
        <v>236</v>
      </c>
      <c r="C26" s="278" t="s">
        <v>137</v>
      </c>
      <c r="D26" s="187"/>
      <c r="F26" s="302" t="s">
        <v>277</v>
      </c>
      <c r="G26" s="79"/>
    </row>
    <row r="27" spans="2:7" ht="27.75" customHeight="1">
      <c r="D27" s="186"/>
      <c r="G27" s="79"/>
    </row>
    <row r="28" spans="2:7" ht="23.45" customHeight="1">
      <c r="D28" s="252"/>
      <c r="G28" s="79"/>
    </row>
    <row r="29" spans="2:7" ht="24.95" customHeight="1">
      <c r="D29" s="187"/>
      <c r="G29" s="79"/>
    </row>
    <row r="30" spans="2:7" ht="24" customHeight="1">
      <c r="G30" s="79"/>
    </row>
    <row r="31" spans="2:7" ht="24" customHeight="1">
      <c r="G31" s="79"/>
    </row>
    <row r="32" spans="2:7" ht="24" customHeight="1">
      <c r="G32" s="79"/>
    </row>
    <row r="39" spans="2:6">
      <c r="E39" s="51"/>
      <c r="F39" s="51"/>
    </row>
    <row r="40" spans="2:6">
      <c r="E40" s="51"/>
      <c r="F40" s="51"/>
    </row>
    <row r="41" spans="2:6">
      <c r="E41" s="51"/>
      <c r="F41" s="51"/>
    </row>
    <row r="42" spans="2:6">
      <c r="E42" s="51"/>
      <c r="F42" s="51"/>
    </row>
    <row r="43" spans="2:6">
      <c r="E43" s="51"/>
      <c r="F43" s="51"/>
    </row>
    <row r="44" spans="2:6">
      <c r="E44" s="51"/>
      <c r="F44" s="51"/>
    </row>
    <row r="45" spans="2:6">
      <c r="E45" s="51"/>
      <c r="F45" s="51"/>
    </row>
    <row r="46" spans="2:6" ht="24">
      <c r="B46" s="248"/>
      <c r="C46" s="249"/>
    </row>
  </sheetData>
  <mergeCells count="16">
    <mergeCell ref="E25:F25"/>
    <mergeCell ref="B18:C18"/>
    <mergeCell ref="B20:C20"/>
    <mergeCell ref="B22:C22"/>
    <mergeCell ref="B1:F1"/>
    <mergeCell ref="B2:F2"/>
    <mergeCell ref="E15:F15"/>
    <mergeCell ref="B3:F3"/>
    <mergeCell ref="B4:C4"/>
    <mergeCell ref="B15:C15"/>
    <mergeCell ref="E4:F4"/>
    <mergeCell ref="E23:F23"/>
    <mergeCell ref="E24:F24"/>
    <mergeCell ref="E22:F22"/>
    <mergeCell ref="E19:F19"/>
    <mergeCell ref="E21:F21"/>
  </mergeCells>
  <dataValidations xWindow="739" yWindow="537" count="15">
    <dataValidation type="whole" allowBlank="1" showInputMessage="1" showErrorMessage="1" errorTitle="توجه" error="عددی از صفر (0) تا  دو هزار و دویست و پنجاه (۲۲۵۰) وارد نمایید (با توجه به آخرین حکم کارگزینی)" sqref="C10" xr:uid="{00000000-0002-0000-0000-000000000000}">
      <formula1>0</formula1>
      <formula2>2325</formula2>
    </dataValidation>
    <dataValidation type="whole" allowBlank="1" showInputMessage="1" showErrorMessage="1" errorTitle="توجه" error="عددی از صفر (0) تا پنج هزار (۵۰۰۰) وارد نمایید (مطابق با آخرین حکم کارگزینی)" sqref="C7" xr:uid="{00000000-0002-0000-0000-000001000000}">
      <formula1>0</formula1>
      <formula2>10000</formula2>
    </dataValidation>
    <dataValidation type="whole" allowBlank="1" showInputMessage="1" showErrorMessage="1" errorTitle="توجه" error="عددی از صفر (0) تا شش هزار و دویست و چهل ۸۰۰۰ وارد نمایید (مطابق با آخرین حکم کارگزینی)" sqref="C8" xr:uid="{00000000-0002-0000-0000-000002000000}">
      <formula1>0</formula1>
      <formula2>20000</formula2>
    </dataValidation>
    <dataValidation type="whole" allowBlank="1" showInputMessage="1" showErrorMessage="1" errorTitle="توجه" error="در ورود اطلاعات دقت فرمایید_x000a_عددی بین 0 تا 20000000 وارد نمایید" sqref="F6:F7" xr:uid="{00000000-0002-0000-0000-000003000000}">
      <formula1>0</formula1>
      <formula2>20000000</formula2>
    </dataValidation>
    <dataValidation type="whole" allowBlank="1" showInputMessage="1" showErrorMessage="1" errorTitle="توجه" error="در ورود اطلاعات دقت فرمایید_x000a_عددی بین صفر (0) تا هزار و دویست (۱۲۰۰) وارد نمایید (مطابق با آخرین حکم کارگزینی)" sqref="C12" xr:uid="{00000000-0002-0000-0000-000004000000}">
      <formula1>0</formula1>
      <formula2>3000</formula2>
    </dataValidation>
    <dataValidation type="whole" allowBlank="1" showInputMessage="1" showErrorMessage="1" errorTitle="توجه" error="در ورود اطلاعات دقت نمایید_x000a_عددی بین صفر (0) تا هزار و هفتصد (۱۷۰۰) وارد نمایید (مطابق با آخرین حکم کارگزینی)" sqref="C11" xr:uid="{00000000-0002-0000-0000-000005000000}">
      <formula1>0</formula1>
      <formula2>3000</formula2>
    </dataValidation>
    <dataValidation type="whole" allowBlank="1" showInputMessage="1" showErrorMessage="1" errorTitle="توجه" error="در ورود اطلاعات دقت فرمایید_x000a_عددی بین صفر (0) تا سه میلیون (50000000) وارد نمایید (مطابق با آخرین حکم کارگزینی)" sqref="F8" xr:uid="{00000000-0002-0000-0000-000006000000}">
      <formula1>0</formula1>
      <formula2>50000000</formula2>
    </dataValidation>
    <dataValidation type="whole" allowBlank="1" showInputMessage="1" showErrorMessage="1" errorTitle="توجه" error="در ورود اطلاعات دقت فرمایید_x000a_عددی بین صفر (0) تا پنجاه میلیون (۵۰۰۰۰۰۰۰) وارد نمایید (مطابق با آخرین حکم کارگزینی)" sqref="F9" xr:uid="{00000000-0002-0000-0000-000007000000}">
      <formula1>0</formula1>
      <formula2>100000000</formula2>
    </dataValidation>
    <dataValidation type="whole" allowBlank="1" showInputMessage="1" showErrorMessage="1" errorTitle="توجه" error="دقت فرمایید!!!_x000a_امتیاز حق شغل را مطابق با آخرین حکم کارگزینی خود وارد کنید_x000a__x000a_از وارد کردن مبلغ خودداری گردد" sqref="C6" xr:uid="{00000000-0002-0000-0000-000008000000}">
      <formula1>0</formula1>
      <formula2>30000</formula2>
    </dataValidation>
    <dataValidation type="whole" allowBlank="1" showInputMessage="1" showErrorMessage="1" errorTitle="اخطار" error="عددی از  ۷۰۰ تا ۳۰۰۰_x000a_را وارد نمایید" sqref="C9" xr:uid="{00000000-0002-0000-0000-000009000000}">
      <formula1>0</formula1>
      <formula2>3000</formula2>
    </dataValidation>
    <dataValidation type="whole" allowBlank="1" showInputMessage="1" showErrorMessage="1" promptTitle="توجه" prompt="در صورتی که تا قبل از سال 1401 بیش از 1000 ساعت آموزش ضمن خدمت داشته اید عدد صفر را وارد نمایید در غیر این صورت میزان ساعات آموزش سال 1401 خود را وارد نمایید." sqref="C25" xr:uid="{00000000-0002-0000-0000-00000A000000}">
      <formula1>0</formula1>
      <formula2>1000</formula2>
    </dataValidation>
    <dataValidation type="whole" allowBlank="1" showInputMessage="1" showErrorMessage="1" errorTitle="اخطار" error="عددی از صفر (۰) تا چهار هزار و پانصد (۴۵۰۰) وارد نمایید (مطابق با آخرین حکم کارگزینی)" sqref="C13" xr:uid="{00000000-0002-0000-0000-00000D000000}">
      <formula1>0</formula1>
      <formula2>4500</formula2>
    </dataValidation>
    <dataValidation type="whole" allowBlank="1" showInputMessage="1" showErrorMessage="1" errorTitle="اخطار" error="مطابق با آخرین حکم کارگزینی سال گذشته رقم مورد نظر را وارد نمایید." sqref="F11:F13" xr:uid="{00000000-0002-0000-0000-00000E000000}">
      <formula1>0</formula1>
      <formula2>50000000</formula2>
    </dataValidation>
    <dataValidation type="whole" allowBlank="1" showInputMessage="1" showErrorMessage="1" errorTitle="توجه" error="مطابق با آخرین حکم کارگزینی سال گذشته رقم مورد نظر را وارد نمایید." sqref="F14" xr:uid="{00000000-0002-0000-0000-00000F000000}">
      <formula1>0</formula1>
      <formula2>60000000</formula2>
    </dataValidation>
    <dataValidation allowBlank="1" showInputMessage="1" showErrorMessage="1" prompt="در صورتی که تا قبل از سال 1400 بیش از 1000 ساعت آموزش ضمن خدمت داشته اید عدد صفر را وارد نمایید در غیر این صورت میزان ساعات آموزش سال 1400 خود را وارد نمایید." sqref="B25" xr:uid="{00000000-0002-0000-0000-000010000000}"/>
  </dataValidations>
  <hyperlinks>
    <hyperlink ref="F16" location="'حکم سال 1402'!A1" display="ورود" xr:uid="{00000000-0004-0000-0000-000000000000}"/>
    <hyperlink ref="F17" location="'جدول محاسبات'!A1" display="ورود" xr:uid="{00000000-0004-0000-0000-000001000000}"/>
    <hyperlink ref="F18" location="'حکم سال 1403'!A1" display="ورود" xr:uid="{00000000-0004-0000-0000-000002000000}"/>
    <hyperlink ref="E23" r:id="rId1" xr:uid="{E7614453-520B-4DC3-9C3C-79B8E761DF85}"/>
    <hyperlink ref="E24" r:id="rId2" display="ایتا (Eita)" xr:uid="{E2EA456B-F207-4E18-AFE1-C7ECFBB46CDF}"/>
    <hyperlink ref="E22" r:id="rId3" xr:uid="{970C0E8E-D1A1-4791-B547-4B4210DD034F}"/>
    <hyperlink ref="E19:F19" r:id="rId4" display="تهیه و تنظیم: صیاح الدین شهدی" xr:uid="{00000000-0004-0000-0000-000006000000}"/>
    <hyperlink ref="E25" r:id="rId5" display=" بله (Bale)" xr:uid="{7B4DE433-07D6-40E0-BCA1-BAEB67F83B87}"/>
    <hyperlink ref="E23:F23" r:id="rId6" display=" بله (Bale)" xr:uid="{0EA283B7-3FA5-45BF-8072-E4460B5DD7D9}"/>
    <hyperlink ref="E22:F22" r:id="rId7" display="تلگرام (Telegram)" xr:uid="{1356E4C3-2C50-41C3-AAF7-DE22222C5BD2}"/>
    <hyperlink ref="E25:F25" r:id="rId8" display=" اینستاگرام (Instagram)" xr:uid="{22CB690A-5EEB-45F0-85BD-33D16A118C22}"/>
    <hyperlink ref="E24:F24" r:id="rId9" display="ایتا (Eitaa)" xr:uid="{97E4395B-5CC2-4340-B3EB-BDB4A676E165}"/>
  </hyperlinks>
  <printOptions horizontalCentered="1"/>
  <pageMargins left="0.11811023622047245" right="0.11811023622047245" top="0.15748031496062992" bottom="0.19685039370078741" header="0.11811023622047245" footer="0.11811023622047245"/>
  <pageSetup paperSize="9" scale="73" orientation="portrait" r:id="rId10"/>
  <extLst>
    <ext xmlns:x14="http://schemas.microsoft.com/office/spreadsheetml/2009/9/main" uri="{CCE6A557-97BC-4b89-ADB6-D9C93CAAB3DF}">
      <x14:dataValidations xmlns:xm="http://schemas.microsoft.com/office/excel/2006/main" xWindow="739" yWindow="537" count="7">
        <x14:dataValidation type="list" allowBlank="1" showInputMessage="1" showErrorMessage="1" errorTitle="توجه" error="یکی از گزینه های زیر را وارد نمایید_x000a__x000a_خیر_x000a_بلی_x000a__x000a__x000a_" xr:uid="{00000000-0002-0000-0000-000011000000}">
          <x14:formula1>
            <xm:f>Sheet2!$S$2:$S$3</xm:f>
          </x14:formula1>
          <xm:sqref>C21</xm:sqref>
        </x14:dataValidation>
        <x14:dataValidation type="list" allowBlank="1" showInputMessage="1" showErrorMessage="1" xr:uid="{00000000-0002-0000-0000-000013000000}">
          <x14:formula1>
            <xm:f>'ورود اطلاعات (2)'!$W$2:$W$3</xm:f>
          </x14:formula1>
          <xm:sqref>C23</xm:sqref>
        </x14:dataValidation>
        <x14:dataValidation type="list" allowBlank="1" showInputMessage="1" showErrorMessage="1" errorTitle="توجه" error="لطفاً از لیست کشویی انتخاب نمایید" prompt="کارشناس_x000a_رئیس اداره_x000a_مدیر" xr:uid="{00000000-0002-0000-0000-000014000000}">
          <x14:formula1>
            <xm:f>'ورود اطلاعات (2)'!$Y$1:$Y$3</xm:f>
          </x14:formula1>
          <xm:sqref>C26</xm:sqref>
        </x14:dataValidation>
        <x14:dataValidation type="list" allowBlank="1" showInputMessage="1" showErrorMessage="1" xr:uid="{00000000-0002-0000-0000-000015000000}">
          <x14:formula1>
            <xm:f>'ورود اطلاعات (2)'!$AA$1:$AA$6</xm:f>
          </x14:formula1>
          <xm:sqref>C24</xm:sqref>
        </x14:dataValidation>
        <x14:dataValidation type="list" allowBlank="1" showInputMessage="1" showErrorMessage="1" errorTitle="توجه" error="با بلی یا خیر پاسخ دهید_x000a__x000a__x000a_" xr:uid="{4B9B8D88-D0A2-41D0-8046-BA5A3B0128B7}">
          <x14:formula1>
            <xm:f>Sheet1!$C$8:$C$9</xm:f>
          </x14:formula1>
          <xm:sqref>C16</xm:sqref>
        </x14:dataValidation>
        <x14:dataValidation type="list" allowBlank="1" showInputMessage="1" showErrorMessage="1" errorTitle="توجه" error="تعداد فرزندان مشمول دریافت کمک هزینه حق اولاد را وارد نمایید" xr:uid="{0909527D-9298-4A6F-89EC-A1FE967A5051}">
          <x14:formula1>
            <xm:f>Sheet1!$H$2:$H$11</xm:f>
          </x14:formula1>
          <xm:sqref>C17</xm:sqref>
        </x14:dataValidation>
        <x14:dataValidation type="list" allowBlank="1" showInputMessage="1" showErrorMessage="1" errorTitle="توجه" error="عدد چهار رقمی معادل سال ازدواج خود را وارد نمایید از 1360 تا 1402_x000a__x000a__x000a_" xr:uid="{BB93E4F5-D9F5-4A22-9846-9E604B5CF60C}">
          <x14:formula1>
            <xm:f>Sheet1!$I$2:$I$7</xm:f>
          </x14:formula1>
          <xm:sqref>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7" tint="-0.499984740745262"/>
    <pageSetUpPr fitToPage="1"/>
  </sheetPr>
  <dimension ref="A1:L45"/>
  <sheetViews>
    <sheetView showGridLines="0" showRowColHeaders="0" rightToLeft="1" topLeftCell="A29" zoomScaleNormal="100" workbookViewId="0">
      <selection activeCell="B37" sqref="B37"/>
    </sheetView>
  </sheetViews>
  <sheetFormatPr defaultColWidth="9" defaultRowHeight="15"/>
  <cols>
    <col min="1" max="1" width="4.28515625" style="51" customWidth="1"/>
    <col min="2" max="2" width="25" style="51" customWidth="1"/>
    <col min="3" max="3" width="2.42578125" style="51" customWidth="1"/>
    <col min="4" max="4" width="12.7109375" style="51" customWidth="1"/>
    <col min="5" max="5" width="10.28515625" style="51" customWidth="1"/>
    <col min="6" max="11" width="15.7109375" style="51" customWidth="1"/>
    <col min="12" max="12" width="2.7109375" style="51" customWidth="1"/>
    <col min="13" max="13" width="9.28515625" style="51" customWidth="1"/>
    <col min="14" max="16384" width="9" style="51"/>
  </cols>
  <sheetData>
    <row r="1" spans="2:11" ht="33.75" customHeight="1">
      <c r="B1" s="314" t="s">
        <v>132</v>
      </c>
      <c r="C1" s="314"/>
      <c r="D1" s="314"/>
      <c r="E1" s="314"/>
      <c r="F1" s="314"/>
      <c r="G1" s="314"/>
      <c r="H1" s="314"/>
      <c r="I1" s="314"/>
      <c r="J1" s="241"/>
      <c r="K1" s="241"/>
    </row>
    <row r="2" spans="2:11" ht="48.75" customHeight="1">
      <c r="B2" s="348" t="s">
        <v>14</v>
      </c>
      <c r="C2" s="349"/>
      <c r="D2" s="349"/>
      <c r="E2" s="350"/>
      <c r="F2" s="346" t="s">
        <v>262</v>
      </c>
      <c r="G2" s="347"/>
      <c r="H2" s="346" t="s">
        <v>263</v>
      </c>
      <c r="I2" s="347"/>
    </row>
    <row r="3" spans="2:11" ht="25.5" customHeight="1">
      <c r="B3" s="351"/>
      <c r="C3" s="352"/>
      <c r="D3" s="352"/>
      <c r="E3" s="353"/>
      <c r="F3" s="298" t="s">
        <v>0</v>
      </c>
      <c r="G3" s="299" t="s">
        <v>1</v>
      </c>
      <c r="H3" s="298" t="s">
        <v>0</v>
      </c>
      <c r="I3" s="299" t="s">
        <v>1</v>
      </c>
    </row>
    <row r="4" spans="2:11" ht="21">
      <c r="B4" s="317" t="s">
        <v>22</v>
      </c>
      <c r="C4" s="318"/>
      <c r="D4" s="354" t="s">
        <v>3</v>
      </c>
      <c r="E4" s="355"/>
      <c r="F4" s="256">
        <f>'ورود اطلاعات'!C6</f>
        <v>0</v>
      </c>
      <c r="G4" s="257">
        <f>F4*Sheet2!H50</f>
        <v>0</v>
      </c>
      <c r="H4" s="256">
        <f>IF(Sheet2!M22="قراردادی",Sheet2!M43*1.25,Sheet2!M43)</f>
        <v>0</v>
      </c>
      <c r="I4" s="257">
        <f>H4*Sheet2!H51</f>
        <v>0</v>
      </c>
    </row>
    <row r="5" spans="2:11" ht="21">
      <c r="B5" s="319"/>
      <c r="C5" s="320"/>
      <c r="D5" s="356" t="s">
        <v>4</v>
      </c>
      <c r="E5" s="357"/>
      <c r="F5" s="258">
        <f>'ورود اطلاعات'!C7</f>
        <v>0</v>
      </c>
      <c r="G5" s="259">
        <f>F5*Sheet2!H50</f>
        <v>0</v>
      </c>
      <c r="H5" s="258">
        <f>IF(Sheet2!M22="قراردادی",Sheet2!M44*1.25,Sheet2!M44)</f>
        <v>0</v>
      </c>
      <c r="I5" s="259">
        <f>H5*Sheet2!H51</f>
        <v>0</v>
      </c>
    </row>
    <row r="6" spans="2:11" ht="21">
      <c r="B6" s="319"/>
      <c r="C6" s="320"/>
      <c r="D6" s="358" t="s">
        <v>5</v>
      </c>
      <c r="E6" s="359"/>
      <c r="F6" s="264">
        <f>'ورود اطلاعات'!C8</f>
        <v>0</v>
      </c>
      <c r="G6" s="265">
        <f>F6*Sheet2!H50</f>
        <v>0</v>
      </c>
      <c r="H6" s="264">
        <f>IF(Sheet2!M22="قراردادی",Sheet2!M45*1.25,Sheet2!M45)</f>
        <v>0</v>
      </c>
      <c r="I6" s="265">
        <f>H6*Sheet2!H51</f>
        <v>0</v>
      </c>
    </row>
    <row r="7" spans="2:11" ht="33.75" customHeight="1">
      <c r="B7" s="321"/>
      <c r="C7" s="322"/>
      <c r="D7" s="341" t="s">
        <v>6</v>
      </c>
      <c r="E7" s="342"/>
      <c r="F7" s="300">
        <f t="shared" ref="F7:G7" si="0">SUM(F4:F6)</f>
        <v>0</v>
      </c>
      <c r="G7" s="301">
        <f t="shared" si="0"/>
        <v>0</v>
      </c>
      <c r="H7" s="300">
        <f>SUM(H4:H6)</f>
        <v>0</v>
      </c>
      <c r="I7" s="301">
        <f>SUM(I4:I6)</f>
        <v>0</v>
      </c>
    </row>
    <row r="8" spans="2:11" ht="21">
      <c r="B8" s="343" t="s">
        <v>10</v>
      </c>
      <c r="C8" s="344"/>
      <c r="D8" s="344"/>
      <c r="E8" s="345"/>
      <c r="F8" s="256"/>
      <c r="G8" s="257">
        <f>'ورود اطلاعات'!F8</f>
        <v>0</v>
      </c>
      <c r="H8" s="256"/>
      <c r="I8" s="257">
        <f>Sheet2!N47</f>
        <v>0</v>
      </c>
    </row>
    <row r="9" spans="2:11" ht="21">
      <c r="B9" s="338" t="s">
        <v>15</v>
      </c>
      <c r="C9" s="339"/>
      <c r="D9" s="339"/>
      <c r="E9" s="340"/>
      <c r="F9" s="258">
        <f>'ورود اطلاعات'!C9</f>
        <v>0</v>
      </c>
      <c r="G9" s="259">
        <f>F9*Sheet2!H50</f>
        <v>0</v>
      </c>
      <c r="H9" s="258">
        <f>IF(Sheet2!M22="قراردادی",Sheet2!M48*1.25,Sheet2!M48)</f>
        <v>0</v>
      </c>
      <c r="I9" s="259">
        <f>H9*Sheet2!H51</f>
        <v>0</v>
      </c>
    </row>
    <row r="10" spans="2:11" ht="21">
      <c r="B10" s="323" t="s">
        <v>23</v>
      </c>
      <c r="C10" s="324"/>
      <c r="D10" s="324"/>
      <c r="E10" s="230" t="e">
        <f>IF(Sheet2!J33=0," ",Sheet2!J33&amp;" درصد")</f>
        <v>#DIV/0!</v>
      </c>
      <c r="F10" s="260"/>
      <c r="G10" s="261">
        <f>'ورود اطلاعات'!F9</f>
        <v>0</v>
      </c>
      <c r="H10" s="260"/>
      <c r="I10" s="261">
        <f>IF('ورود اطلاعات'!F9=0,0,SUM(I7,I9,I14,I16,I17,I18,I25)*Sheet2!K31%)</f>
        <v>0</v>
      </c>
    </row>
    <row r="11" spans="2:11" ht="21">
      <c r="B11" s="338" t="s">
        <v>214</v>
      </c>
      <c r="C11" s="339"/>
      <c r="D11" s="339"/>
      <c r="E11" s="231" t="e">
        <f>IF(Sheet2!J35=0," ",Sheet2!J35&amp;" درصد")</f>
        <v>#DIV/0!</v>
      </c>
      <c r="F11" s="258"/>
      <c r="G11" s="259">
        <f>'ورود اطلاعات'!F10</f>
        <v>0</v>
      </c>
      <c r="H11" s="258"/>
      <c r="I11" s="259">
        <f>IF('ورود اطلاعات'!F10=0,0,SUM(I7,I9,I14,I16,I17,I18,I25)*Sheet2!K32%)</f>
        <v>0</v>
      </c>
    </row>
    <row r="12" spans="2:11" ht="21">
      <c r="B12" s="323" t="s">
        <v>25</v>
      </c>
      <c r="C12" s="324"/>
      <c r="D12" s="324"/>
      <c r="E12" s="232" t="e">
        <f>IF(Sheet2!J31=0," ",Sheet2!J31&amp;" درصد")</f>
        <v>#DIV/0!</v>
      </c>
      <c r="F12" s="262"/>
      <c r="G12" s="263">
        <f>'ورود اطلاعات'!F11</f>
        <v>0</v>
      </c>
      <c r="H12" s="262"/>
      <c r="I12" s="263">
        <f>IF('ورود اطلاعات'!F11=0,0,SUM(I7,I25)*Sheet2!K33%)</f>
        <v>0</v>
      </c>
    </row>
    <row r="13" spans="2:11" ht="21">
      <c r="B13" s="338" t="s">
        <v>24</v>
      </c>
      <c r="C13" s="339"/>
      <c r="D13" s="339"/>
      <c r="E13" s="233" t="e">
        <f>IF(Sheet2!J32=0," ",Sheet2!J32&amp;" درصد")</f>
        <v>#DIV/0!</v>
      </c>
      <c r="F13" s="258"/>
      <c r="G13" s="259">
        <f>'ورود اطلاعات'!F12</f>
        <v>0</v>
      </c>
      <c r="H13" s="258"/>
      <c r="I13" s="259">
        <f>IF('ورود اطلاعات'!F12=0,0,SUM(I7,I25)*Sheet2!K34%)</f>
        <v>0</v>
      </c>
    </row>
    <row r="14" spans="2:11" ht="21">
      <c r="B14" s="323" t="s">
        <v>16</v>
      </c>
      <c r="C14" s="324"/>
      <c r="D14" s="324"/>
      <c r="E14" s="325"/>
      <c r="F14" s="262">
        <f>'ورود اطلاعات'!C10</f>
        <v>0</v>
      </c>
      <c r="G14" s="263">
        <f>F14*Sheet2!H50</f>
        <v>0</v>
      </c>
      <c r="H14" s="262">
        <f>IF(Sheet2!M22="قراردادی",Sheet2!M53*1.25,Sheet2!M53)</f>
        <v>0</v>
      </c>
      <c r="I14" s="263">
        <f>H14*Sheet2!H51</f>
        <v>0</v>
      </c>
    </row>
    <row r="15" spans="2:11" ht="21">
      <c r="B15" s="338" t="s">
        <v>116</v>
      </c>
      <c r="C15" s="339"/>
      <c r="D15" s="339"/>
      <c r="E15" s="340"/>
      <c r="F15" s="258"/>
      <c r="G15" s="259">
        <f>IF('ورود اطلاعات'!C21="بلی",Sheet2!O54*25%,0)</f>
        <v>0</v>
      </c>
      <c r="H15" s="258"/>
      <c r="I15" s="259">
        <f>Sheet2!N54</f>
        <v>0</v>
      </c>
    </row>
    <row r="16" spans="2:11" ht="21">
      <c r="B16" s="323" t="s">
        <v>17</v>
      </c>
      <c r="C16" s="324"/>
      <c r="D16" s="324"/>
      <c r="E16" s="325"/>
      <c r="F16" s="262">
        <f>'ورود اطلاعات'!C11</f>
        <v>0</v>
      </c>
      <c r="G16" s="263">
        <f>F16*Sheet2!H50</f>
        <v>0</v>
      </c>
      <c r="H16" s="262">
        <f>IF(Sheet2!M22="قراردادی",Sheet2!M55*1.25,Sheet2!M55)</f>
        <v>0</v>
      </c>
      <c r="I16" s="263">
        <f>H16*Sheet2!H51</f>
        <v>0</v>
      </c>
    </row>
    <row r="17" spans="2:9" ht="21">
      <c r="B17" s="338" t="s">
        <v>18</v>
      </c>
      <c r="C17" s="339"/>
      <c r="D17" s="339"/>
      <c r="E17" s="340"/>
      <c r="F17" s="258">
        <f>'ورود اطلاعات'!C12</f>
        <v>0</v>
      </c>
      <c r="G17" s="259">
        <f>F17*Sheet2!H50</f>
        <v>0</v>
      </c>
      <c r="H17" s="258">
        <f>IF(Sheet2!M22="قراردادی",Sheet2!M56*1.25,Sheet2!M56)</f>
        <v>0</v>
      </c>
      <c r="I17" s="259">
        <f>H17*Sheet2!H51</f>
        <v>0</v>
      </c>
    </row>
    <row r="18" spans="2:9" ht="21">
      <c r="B18" s="323" t="s">
        <v>19</v>
      </c>
      <c r="C18" s="324"/>
      <c r="D18" s="324"/>
      <c r="E18" s="325"/>
      <c r="F18" s="262">
        <f>'ورود اطلاعات'!C13</f>
        <v>0</v>
      </c>
      <c r="G18" s="263">
        <f>F18*Sheet2!H50</f>
        <v>0</v>
      </c>
      <c r="H18" s="262">
        <f>IF(Sheet2!M22="قراردادی",Sheet2!M57*1.25,Sheet2!M57)</f>
        <v>0</v>
      </c>
      <c r="I18" s="263">
        <f>H18*Sheet2!H51</f>
        <v>0</v>
      </c>
    </row>
    <row r="19" spans="2:9" ht="21">
      <c r="B19" s="338" t="s">
        <v>20</v>
      </c>
      <c r="C19" s="339"/>
      <c r="D19" s="339"/>
      <c r="E19" s="340"/>
      <c r="F19" s="258">
        <f>IF('ورود اطلاعات'!C16="خیر",0,2280)</f>
        <v>0</v>
      </c>
      <c r="G19" s="259">
        <f>F19*Sheet2!H50</f>
        <v>0</v>
      </c>
      <c r="H19" s="258">
        <f>IF(AND(Sheet1!I21&gt;0,Sheet1!I22&gt;2),Sheet1!I21*Sheet1!J19,Sheet1!I21*Sheet1!I19)</f>
        <v>0</v>
      </c>
      <c r="I19" s="259">
        <f>H19*Sheet2!H51</f>
        <v>0</v>
      </c>
    </row>
    <row r="20" spans="2:9" ht="21">
      <c r="B20" s="323" t="s">
        <v>21</v>
      </c>
      <c r="C20" s="324"/>
      <c r="D20" s="324"/>
      <c r="E20" s="325"/>
      <c r="F20" s="262">
        <f>'ورود اطلاعات'!C17*1050</f>
        <v>0</v>
      </c>
      <c r="G20" s="263">
        <f>F20*Sheet2!H50</f>
        <v>0</v>
      </c>
      <c r="H20" s="262">
        <f>IF('ورود اطلاعات'!C17&gt;2,3560+(Sheet1!J22*Sheet1!J20),Sheet1!I22*Sheet1!I20)</f>
        <v>0</v>
      </c>
      <c r="I20" s="263">
        <f>H20*Sheet2!H51</f>
        <v>0</v>
      </c>
    </row>
    <row r="21" spans="2:9" ht="21">
      <c r="B21" s="338" t="s">
        <v>123</v>
      </c>
      <c r="C21" s="339"/>
      <c r="D21" s="339"/>
      <c r="E21" s="231" t="e">
        <f>IF(Sheet2!J34=0," ",Sheet2!J34&amp;" درصد")</f>
        <v>#DIV/0!</v>
      </c>
      <c r="F21" s="258"/>
      <c r="G21" s="259">
        <f>'ورود اطلاعات'!F13</f>
        <v>0</v>
      </c>
      <c r="H21" s="258"/>
      <c r="I21" s="259">
        <f>IF('ورود اطلاعات'!F13=0,0,I4*Sheet2!K35%)</f>
        <v>0</v>
      </c>
    </row>
    <row r="22" spans="2:9" ht="21">
      <c r="B22" s="323" t="s">
        <v>11</v>
      </c>
      <c r="C22" s="324"/>
      <c r="D22" s="324"/>
      <c r="E22" s="325"/>
      <c r="F22" s="262"/>
      <c r="G22" s="263">
        <f>'ورود اطلاعات'!F14</f>
        <v>0</v>
      </c>
      <c r="H22" s="262"/>
      <c r="I22" s="263">
        <f>IF(Sheet2!M22="قراردادی",0,Sheet2!N61)</f>
        <v>0</v>
      </c>
    </row>
    <row r="23" spans="2:9" ht="21">
      <c r="B23" s="338" t="s">
        <v>232</v>
      </c>
      <c r="C23" s="339"/>
      <c r="D23" s="339"/>
      <c r="E23" s="340"/>
      <c r="F23" s="258"/>
      <c r="G23" s="259">
        <f>'ورود اطلاعات'!F6</f>
        <v>0</v>
      </c>
      <c r="H23" s="258"/>
      <c r="I23" s="259">
        <v>0</v>
      </c>
    </row>
    <row r="24" spans="2:9" ht="21">
      <c r="B24" s="323" t="s">
        <v>231</v>
      </c>
      <c r="C24" s="324"/>
      <c r="D24" s="324"/>
      <c r="E24" s="325"/>
      <c r="F24" s="262"/>
      <c r="G24" s="263">
        <f>'ورود اطلاعات'!F7</f>
        <v>0</v>
      </c>
      <c r="H24" s="262"/>
      <c r="I24" s="263">
        <v>0</v>
      </c>
    </row>
    <row r="25" spans="2:9" ht="21">
      <c r="B25" s="338" t="s">
        <v>242</v>
      </c>
      <c r="C25" s="339"/>
      <c r="D25" s="339"/>
      <c r="E25" s="340"/>
      <c r="F25" s="258"/>
      <c r="G25" s="259"/>
      <c r="H25" s="258"/>
      <c r="I25" s="259">
        <f>G23+G24</f>
        <v>0</v>
      </c>
    </row>
    <row r="26" spans="2:9" ht="21">
      <c r="B26" s="323" t="s">
        <v>275</v>
      </c>
      <c r="C26" s="324"/>
      <c r="D26" s="324"/>
      <c r="E26" s="325"/>
      <c r="F26" s="262"/>
      <c r="G26" s="263">
        <f>IF(Sheet2!E11&lt;=Sheet2!F11,Sheet2!F11-Sheet2!E11,0)</f>
        <v>67198800</v>
      </c>
      <c r="H26" s="262"/>
      <c r="I26" s="263">
        <v>0</v>
      </c>
    </row>
    <row r="27" spans="2:9" ht="21">
      <c r="B27" s="338" t="s">
        <v>276</v>
      </c>
      <c r="C27" s="339"/>
      <c r="D27" s="339"/>
      <c r="E27" s="340"/>
      <c r="F27" s="258"/>
      <c r="G27" s="259"/>
      <c r="H27" s="258"/>
      <c r="I27" s="259">
        <f>IF(Sheet2!E10&lt;=Sheet2!F10,Sheet2!F10-Sheet2!E10,0)</f>
        <v>85513000</v>
      </c>
    </row>
    <row r="28" spans="2:9" ht="21">
      <c r="B28" s="323" t="s">
        <v>247</v>
      </c>
      <c r="C28" s="324"/>
      <c r="D28" s="324"/>
      <c r="E28" s="325"/>
      <c r="F28" s="262">
        <v>3000</v>
      </c>
      <c r="G28" s="263">
        <f>F28*Sheet2!H50</f>
        <v>12072000</v>
      </c>
      <c r="H28" s="262">
        <v>3000</v>
      </c>
      <c r="I28" s="263">
        <f>H28*Sheet2!H51</f>
        <v>14487000</v>
      </c>
    </row>
    <row r="29" spans="2:9" ht="26.1" customHeight="1">
      <c r="B29" s="338" t="s">
        <v>282</v>
      </c>
      <c r="C29" s="339"/>
      <c r="D29" s="339"/>
      <c r="E29" s="340"/>
      <c r="F29" s="258"/>
      <c r="G29" s="259">
        <f>VLOOKUP('ورود اطلاعات'!C19,Sheet1!I2:L7,3,0)</f>
        <v>0</v>
      </c>
      <c r="H29" s="258"/>
      <c r="I29" s="259">
        <f>VLOOKUP('ورود اطلاعات'!C19,Sheet1!I2:L7,4,0)</f>
        <v>0</v>
      </c>
    </row>
    <row r="30" spans="2:9" ht="26.1" customHeight="1">
      <c r="B30" s="367" t="s">
        <v>280</v>
      </c>
      <c r="C30" s="368"/>
      <c r="D30" s="368"/>
      <c r="E30" s="369"/>
      <c r="F30" s="260">
        <f>'ورود اطلاعات'!C14</f>
        <v>0</v>
      </c>
      <c r="G30" s="261">
        <f>F30*Sheet2!H50</f>
        <v>0</v>
      </c>
      <c r="H30" s="260">
        <f>F30</f>
        <v>0</v>
      </c>
      <c r="I30" s="261">
        <f>H30*Sheet2!H51</f>
        <v>0</v>
      </c>
    </row>
    <row r="31" spans="2:9" ht="41.25" customHeight="1">
      <c r="B31" s="326" t="s">
        <v>9</v>
      </c>
      <c r="C31" s="327"/>
      <c r="D31" s="327"/>
      <c r="E31" s="328"/>
      <c r="F31" s="300">
        <f>SUM(F7:F28)</f>
        <v>3000</v>
      </c>
      <c r="G31" s="301">
        <f>SUM(G7:G30)</f>
        <v>79270800</v>
      </c>
      <c r="H31" s="300">
        <f>SUM(H7:H28)</f>
        <v>3000</v>
      </c>
      <c r="I31" s="301">
        <f>SUM(I7:I30)</f>
        <v>100000000</v>
      </c>
    </row>
    <row r="32" spans="2:9" ht="24.75" customHeight="1"/>
    <row r="33" spans="1:12" ht="33.75" customHeight="1">
      <c r="D33" s="329" t="s">
        <v>131</v>
      </c>
      <c r="E33" s="330"/>
      <c r="F33" s="331"/>
      <c r="G33" s="228" t="s">
        <v>264</v>
      </c>
      <c r="H33" s="228" t="s">
        <v>265</v>
      </c>
      <c r="I33" s="228" t="s">
        <v>125</v>
      </c>
    </row>
    <row r="34" spans="1:12" ht="23.1" customHeight="1">
      <c r="D34" s="332" t="s">
        <v>126</v>
      </c>
      <c r="E34" s="333"/>
      <c r="F34" s="334"/>
      <c r="G34" s="266">
        <f>SUM(G7,G23:G24)/176</f>
        <v>0</v>
      </c>
      <c r="H34" s="267">
        <f>(I7+I25)/176</f>
        <v>0</v>
      </c>
      <c r="I34" s="268">
        <f>IF(H34=0,0,((H34-G34)/G34)*100)</f>
        <v>0</v>
      </c>
    </row>
    <row r="35" spans="1:12" ht="23.1" customHeight="1">
      <c r="D35" s="335" t="s">
        <v>164</v>
      </c>
      <c r="E35" s="336"/>
      <c r="F35" s="337"/>
      <c r="G35" s="269">
        <f>SUM(G7:G10,G14,G16:G18,G22:G24)+G26+G28+G29+G30</f>
        <v>79270800</v>
      </c>
      <c r="H35" s="269">
        <f>SUM(I7:I10,I14,I16:I18,I22:I24)+I25+I27+I28+I29+I30</f>
        <v>100000000</v>
      </c>
      <c r="I35" s="270">
        <f>IF(H35=0,0,((H35-G35)*100)/G35)</f>
        <v>26.149855936864519</v>
      </c>
    </row>
    <row r="36" spans="1:12" ht="23.1" customHeight="1">
      <c r="B36" s="239"/>
      <c r="D36" s="361" t="s">
        <v>127</v>
      </c>
      <c r="E36" s="362"/>
      <c r="F36" s="363"/>
      <c r="G36" s="271">
        <f>G31</f>
        <v>79270800</v>
      </c>
      <c r="H36" s="271">
        <f>I31</f>
        <v>100000000</v>
      </c>
      <c r="I36" s="272">
        <f>((H36-G36)*100)/G36</f>
        <v>26.149855936864519</v>
      </c>
    </row>
    <row r="37" spans="1:12" ht="23.1" customHeight="1">
      <c r="B37" s="240"/>
      <c r="D37" s="335" t="s">
        <v>130</v>
      </c>
      <c r="E37" s="336"/>
      <c r="F37" s="337"/>
      <c r="G37" s="269" t="s">
        <v>161</v>
      </c>
      <c r="H37" s="269">
        <f>I31-G31</f>
        <v>20729200</v>
      </c>
      <c r="I37" s="270">
        <f>((H36-G36)*100)/G36</f>
        <v>26.149855936864519</v>
      </c>
    </row>
    <row r="38" spans="1:12" ht="23.1" hidden="1" customHeight="1">
      <c r="D38" s="361" t="s">
        <v>128</v>
      </c>
      <c r="E38" s="362"/>
      <c r="F38" s="363"/>
      <c r="G38" s="235">
        <f>((G35-22468000)/50)+1123400</f>
        <v>2259456</v>
      </c>
      <c r="H38" s="235">
        <f>((H35-24714800)/50)+988592</f>
        <v>2494296</v>
      </c>
      <c r="I38" s="245">
        <f>((H38-G38)*100)/G38</f>
        <v>10.393652277362339</v>
      </c>
    </row>
    <row r="39" spans="1:12" ht="23.1" hidden="1" customHeight="1">
      <c r="D39" s="364" t="s">
        <v>129</v>
      </c>
      <c r="E39" s="365"/>
      <c r="F39" s="366"/>
      <c r="G39" s="236">
        <f>G38/2</f>
        <v>1129728</v>
      </c>
      <c r="H39" s="236">
        <f>H38/2</f>
        <v>1247148</v>
      </c>
      <c r="I39" s="246">
        <f>((H39-G39)*100)/G39</f>
        <v>10.393652277362339</v>
      </c>
    </row>
    <row r="40" spans="1:12" ht="9" customHeight="1">
      <c r="B40" s="118"/>
      <c r="C40" s="118"/>
      <c r="D40" s="118"/>
      <c r="E40" s="118"/>
      <c r="F40" s="118"/>
      <c r="G40" s="49"/>
      <c r="H40" s="49"/>
    </row>
    <row r="41" spans="1:12" ht="20.25" customHeight="1">
      <c r="A41" s="180"/>
      <c r="B41" s="242" t="s">
        <v>195</v>
      </c>
      <c r="C41" s="242"/>
      <c r="D41" s="49"/>
      <c r="E41" s="49"/>
      <c r="F41" s="49"/>
      <c r="G41" s="49"/>
      <c r="H41" s="360" t="s">
        <v>170</v>
      </c>
      <c r="I41" s="360"/>
      <c r="L41" s="179"/>
    </row>
    <row r="42" spans="1:12" ht="21.75" customHeight="1">
      <c r="A42" s="180"/>
      <c r="B42" s="315" t="str">
        <f>IF(I27&gt;0,"- چون با اعمال افزایش ضریب ریالی سال 1403 مجموع دریافتی شما به رقم حداقل دریافتی نرسیده است مشمول دریافت تفاوت تطبیق موضوع جزء (1) بند (الف) تبصره (15) شده اید.","- شما مشمول تفاوت تطبیق موضوع جزء (1) بند (الف) تبصره :(15) قانون بودجه سال 1402 نمی باشید.")</f>
        <v>- چون با اعمال افزایش ضریب ریالی سال 1403 مجموع دریافتی شما به رقم حداقل دریافتی نرسیده است مشمول دریافت تفاوت تطبیق موضوع جزء (1) بند (الف) تبصره (15) شده اید.</v>
      </c>
      <c r="C42" s="315"/>
      <c r="D42" s="315"/>
      <c r="E42" s="315"/>
      <c r="F42" s="315"/>
      <c r="G42" s="315"/>
      <c r="H42" s="360" t="s">
        <v>252</v>
      </c>
      <c r="I42" s="360"/>
      <c r="L42" s="178"/>
    </row>
    <row r="43" spans="1:12" ht="21">
      <c r="B43" s="316" t="str">
        <f>IF(Sheet2!M45-F6&lt;1,"- با توجه به اطلاعات وارد شده، مشمول افزایش امتیاز حق شاغل نمی شوید (رعایت سقف مقرر قانونی)","- در سال جدید افزایش امتیاز حق شاغل شما به میزان "&amp;Sheet2!E22&amp;" امتیاز اعمال خواهد شد.")</f>
        <v>- با توجه به اطلاعات وارد شده، مشمول افزایش امتیاز حق شاغل نمی شوید (رعایت سقف مقرر قانونی)</v>
      </c>
      <c r="C43" s="316"/>
      <c r="D43" s="316"/>
      <c r="E43" s="316"/>
      <c r="F43" s="316"/>
      <c r="G43" s="316"/>
      <c r="H43" s="360" t="s">
        <v>266</v>
      </c>
      <c r="I43" s="360"/>
      <c r="L43" s="178"/>
    </row>
    <row r="44" spans="1:12" ht="21" customHeight="1">
      <c r="B44" s="316" t="str">
        <f>IF((G23+G24)&gt;0,"- تفاوت تطبیق های موضوع بودجه سال های 97 و 98 (موسوم به بندهای دوقلو)، بدون افزایش ولی با حفظ سایر ویژگی های دیگر با هم تجمیع گردیده است."," ")</f>
        <v xml:space="preserve"> </v>
      </c>
      <c r="C44" s="316"/>
      <c r="D44" s="316"/>
      <c r="E44" s="316"/>
      <c r="F44" s="316"/>
      <c r="G44" s="316"/>
      <c r="H44" s="316"/>
      <c r="I44" s="316"/>
    </row>
    <row r="45" spans="1:12" ht="21" customHeight="1">
      <c r="B45" s="316" t="str">
        <f>IF(I34&lt;20,"- افزایش کمتر از 20 درصد نرخ اضافه کار به علت ثابت ماندن رقم بندهای دوقلو به عنوان جزئی از حقوق ثابت در سال 1403 می باشد.","- برای سال 1403، بندهای دوقلو که با هم تجمیع گردیده اند به عنوان جزئی از حقوق ثابت در محاسبه نرخ اضافه کار لحاظ گردیده اند.")</f>
        <v>- افزایش کمتر از 20 درصد نرخ اضافه کار به علت ثابت ماندن رقم بندهای دوقلو به عنوان جزئی از حقوق ثابت در سال 1403 می باشد.</v>
      </c>
      <c r="C45" s="316"/>
      <c r="D45" s="316"/>
      <c r="E45" s="316"/>
      <c r="F45" s="316"/>
      <c r="G45" s="316"/>
      <c r="H45" s="316"/>
      <c r="I45" s="316"/>
    </row>
  </sheetData>
  <mergeCells count="47">
    <mergeCell ref="B29:E29"/>
    <mergeCell ref="B45:I45"/>
    <mergeCell ref="H41:I41"/>
    <mergeCell ref="H42:I42"/>
    <mergeCell ref="H43:I43"/>
    <mergeCell ref="B44:I44"/>
    <mergeCell ref="D36:F36"/>
    <mergeCell ref="D37:F37"/>
    <mergeCell ref="D38:F38"/>
    <mergeCell ref="D39:F39"/>
    <mergeCell ref="B30:E30"/>
    <mergeCell ref="H2:I2"/>
    <mergeCell ref="B2:E3"/>
    <mergeCell ref="D4:E4"/>
    <mergeCell ref="D5:E5"/>
    <mergeCell ref="D6:E6"/>
    <mergeCell ref="D7:E7"/>
    <mergeCell ref="B8:E8"/>
    <mergeCell ref="B14:E14"/>
    <mergeCell ref="B11:D11"/>
    <mergeCell ref="F2:G2"/>
    <mergeCell ref="B10:D10"/>
    <mergeCell ref="B12:D12"/>
    <mergeCell ref="B23:E23"/>
    <mergeCell ref="B26:E26"/>
    <mergeCell ref="B16:E16"/>
    <mergeCell ref="B18:E18"/>
    <mergeCell ref="B20:E20"/>
    <mergeCell ref="B22:E22"/>
    <mergeCell ref="B24:E24"/>
    <mergeCell ref="B21:D21"/>
    <mergeCell ref="B1:I1"/>
    <mergeCell ref="B42:G42"/>
    <mergeCell ref="B43:G43"/>
    <mergeCell ref="B4:C7"/>
    <mergeCell ref="B28:E28"/>
    <mergeCell ref="B31:E31"/>
    <mergeCell ref="D33:F33"/>
    <mergeCell ref="D34:F34"/>
    <mergeCell ref="D35:F35"/>
    <mergeCell ref="B27:E27"/>
    <mergeCell ref="B9:E9"/>
    <mergeCell ref="B15:E15"/>
    <mergeCell ref="B17:E17"/>
    <mergeCell ref="B19:E19"/>
    <mergeCell ref="B25:E25"/>
    <mergeCell ref="B13:D13"/>
  </mergeCells>
  <hyperlinks>
    <hyperlink ref="H41:I41" location="'ورود اطلاعات'!A1" display="کاربرگ ورود اطلاعات" xr:uid="{00000000-0004-0000-0100-000005000000}"/>
    <hyperlink ref="H42:I42" location="'حکم سال 1402'!A1" display="حکم کارگزینی سال 1402" xr:uid="{00000000-0004-0000-0100-000006000000}"/>
    <hyperlink ref="H43" location="'حکم پس از رتبه بندی'!A1" display="ورود" xr:uid="{00000000-0004-0000-0100-000007000000}"/>
    <hyperlink ref="H43:I43" location="'حکم سال 1403'!A1" display="حکم کارگزینی سال 1403" xr:uid="{00000000-0004-0000-0100-000008000000}"/>
  </hyperlinks>
  <printOptions horizontalCentered="1"/>
  <pageMargins left="0.31496062992125984" right="0.31496062992125984" top="0.35433070866141736" bottom="0.35433070866141736"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499984740745262"/>
    <pageSetUpPr fitToPage="1"/>
  </sheetPr>
  <dimension ref="A1:J54"/>
  <sheetViews>
    <sheetView showGridLines="0" showRowColHeaders="0" rightToLeft="1" topLeftCell="A22" workbookViewId="0">
      <selection activeCell="B30" sqref="B30:C30"/>
    </sheetView>
  </sheetViews>
  <sheetFormatPr defaultColWidth="9" defaultRowHeight="15"/>
  <cols>
    <col min="1" max="1" width="3.7109375" style="51" customWidth="1"/>
    <col min="2" max="2" width="34.28515625" style="51" customWidth="1"/>
    <col min="3" max="3" width="15" style="51" customWidth="1"/>
    <col min="4" max="4" width="16" style="51" customWidth="1"/>
    <col min="5" max="5" width="10.7109375" style="51" customWidth="1"/>
    <col min="6" max="6" width="11.7109375" style="51" customWidth="1"/>
    <col min="7" max="7" width="8.7109375" style="51" customWidth="1"/>
    <col min="8" max="8" width="13.7109375" style="51" customWidth="1"/>
    <col min="9" max="9" width="9" style="51"/>
    <col min="10" max="10" width="44.28515625" style="49" customWidth="1"/>
    <col min="11" max="16384" width="9" style="51"/>
  </cols>
  <sheetData>
    <row r="1" spans="1:9" ht="29.25" customHeight="1">
      <c r="A1" s="49"/>
      <c r="B1" s="374" t="s">
        <v>252</v>
      </c>
      <c r="C1" s="375" t="s">
        <v>26</v>
      </c>
      <c r="D1" s="375"/>
      <c r="E1" s="375"/>
      <c r="F1" s="50"/>
      <c r="G1" s="50"/>
      <c r="H1" s="50"/>
      <c r="I1" s="49"/>
    </row>
    <row r="2" spans="1:9" ht="18">
      <c r="A2" s="49"/>
      <c r="B2" s="374"/>
      <c r="C2" s="372" t="s">
        <v>37</v>
      </c>
      <c r="D2" s="372"/>
      <c r="E2" s="372"/>
      <c r="F2" s="50"/>
      <c r="G2" s="376" t="s">
        <v>38</v>
      </c>
      <c r="H2" s="376"/>
      <c r="I2" s="49"/>
    </row>
    <row r="3" spans="1:9" ht="10.5" customHeight="1" thickBot="1">
      <c r="A3" s="49"/>
      <c r="B3" s="374"/>
      <c r="C3" s="377"/>
      <c r="D3" s="377"/>
      <c r="E3" s="377"/>
      <c r="F3" s="52"/>
      <c r="G3" s="378"/>
      <c r="H3" s="378"/>
      <c r="I3" s="49"/>
    </row>
    <row r="4" spans="1:9" ht="18">
      <c r="A4" s="49"/>
      <c r="B4" s="379" t="s">
        <v>85</v>
      </c>
      <c r="C4" s="380"/>
      <c r="D4" s="381" t="s">
        <v>84</v>
      </c>
      <c r="E4" s="382"/>
      <c r="F4" s="382"/>
      <c r="G4" s="383"/>
      <c r="H4" s="384"/>
      <c r="I4" s="49"/>
    </row>
    <row r="5" spans="1:9" ht="18">
      <c r="A5" s="49"/>
      <c r="B5" s="385" t="s">
        <v>86</v>
      </c>
      <c r="C5" s="370"/>
      <c r="D5" s="370" t="s">
        <v>87</v>
      </c>
      <c r="E5" s="370"/>
      <c r="F5" s="370"/>
      <c r="G5" s="370" t="s">
        <v>88</v>
      </c>
      <c r="H5" s="371"/>
      <c r="I5" s="49"/>
    </row>
    <row r="6" spans="1:9" ht="18">
      <c r="A6" s="49"/>
      <c r="B6" s="207" t="s">
        <v>89</v>
      </c>
      <c r="C6" s="372" t="s">
        <v>90</v>
      </c>
      <c r="D6" s="372"/>
      <c r="E6" s="372"/>
      <c r="F6" s="373" t="s">
        <v>91</v>
      </c>
      <c r="G6" s="370"/>
      <c r="H6" s="371"/>
      <c r="I6" s="49"/>
    </row>
    <row r="7" spans="1:9" ht="24">
      <c r="A7" s="49"/>
      <c r="B7" s="201" t="s">
        <v>92</v>
      </c>
      <c r="C7" s="370" t="s">
        <v>93</v>
      </c>
      <c r="D7" s="370"/>
      <c r="E7" s="370"/>
      <c r="F7" s="386" t="s">
        <v>94</v>
      </c>
      <c r="G7" s="386"/>
      <c r="H7" s="387"/>
      <c r="I7" s="49"/>
    </row>
    <row r="8" spans="1:9" ht="18">
      <c r="A8" s="49"/>
      <c r="B8" s="206" t="s">
        <v>34</v>
      </c>
      <c r="C8" s="388" t="s">
        <v>95</v>
      </c>
      <c r="D8" s="388"/>
      <c r="E8" s="202"/>
      <c r="F8" s="388" t="s">
        <v>96</v>
      </c>
      <c r="G8" s="388"/>
      <c r="H8" s="204"/>
      <c r="I8" s="49"/>
    </row>
    <row r="9" spans="1:9" ht="18">
      <c r="A9" s="49"/>
      <c r="B9" s="389" t="s">
        <v>97</v>
      </c>
      <c r="C9" s="388"/>
      <c r="D9" s="388" t="s">
        <v>98</v>
      </c>
      <c r="E9" s="388"/>
      <c r="F9" s="388" t="s">
        <v>99</v>
      </c>
      <c r="G9" s="388"/>
      <c r="H9" s="390"/>
      <c r="I9" s="49"/>
    </row>
    <row r="10" spans="1:9" ht="18">
      <c r="A10" s="49"/>
      <c r="B10" s="389" t="s">
        <v>101</v>
      </c>
      <c r="C10" s="388"/>
      <c r="D10" s="388" t="s">
        <v>100</v>
      </c>
      <c r="E10" s="388"/>
      <c r="F10" s="388"/>
      <c r="G10" s="388"/>
      <c r="H10" s="390"/>
      <c r="I10" s="49"/>
    </row>
    <row r="11" spans="1:9" ht="18">
      <c r="A11" s="49"/>
      <c r="B11" s="389" t="s">
        <v>102</v>
      </c>
      <c r="C11" s="388"/>
      <c r="D11" s="53" t="s">
        <v>103</v>
      </c>
      <c r="E11" s="388"/>
      <c r="F11" s="388"/>
      <c r="G11" s="388" t="s">
        <v>104</v>
      </c>
      <c r="H11" s="390"/>
      <c r="I11" s="49"/>
    </row>
    <row r="12" spans="1:9" ht="18">
      <c r="A12" s="49"/>
      <c r="B12" s="203" t="s">
        <v>105</v>
      </c>
      <c r="C12" s="205"/>
      <c r="D12" s="370" t="s">
        <v>106</v>
      </c>
      <c r="E12" s="370"/>
      <c r="F12" s="370"/>
      <c r="G12" s="370"/>
      <c r="H12" s="371"/>
      <c r="I12" s="49"/>
    </row>
    <row r="13" spans="1:9" ht="19.5">
      <c r="A13" s="49"/>
      <c r="B13" s="389" t="s">
        <v>107</v>
      </c>
      <c r="C13" s="388"/>
      <c r="D13" s="388"/>
      <c r="E13" s="388"/>
      <c r="F13" s="388"/>
      <c r="G13" s="388"/>
      <c r="H13" s="390"/>
      <c r="I13" s="49"/>
    </row>
    <row r="14" spans="1:9" ht="18">
      <c r="A14" s="49"/>
      <c r="B14" s="389" t="s">
        <v>77</v>
      </c>
      <c r="C14" s="388"/>
      <c r="D14" s="388"/>
      <c r="E14" s="388"/>
      <c r="F14" s="388"/>
      <c r="G14" s="388"/>
      <c r="H14" s="390"/>
      <c r="I14" s="49"/>
    </row>
    <row r="15" spans="1:9" ht="22.5">
      <c r="A15" s="49"/>
      <c r="B15" s="391" t="s">
        <v>108</v>
      </c>
      <c r="C15" s="392"/>
      <c r="D15" s="393" t="s">
        <v>109</v>
      </c>
      <c r="E15" s="394"/>
      <c r="F15" s="394"/>
      <c r="G15" s="394"/>
      <c r="H15" s="395"/>
      <c r="I15" s="49"/>
    </row>
    <row r="16" spans="1:9" ht="19.5">
      <c r="A16" s="49"/>
      <c r="B16" s="391" t="s">
        <v>110</v>
      </c>
      <c r="C16" s="392"/>
      <c r="D16" s="396" t="s">
        <v>78</v>
      </c>
      <c r="E16" s="397"/>
      <c r="F16" s="398"/>
      <c r="G16" s="54" t="s">
        <v>0</v>
      </c>
      <c r="H16" s="55" t="s">
        <v>1</v>
      </c>
      <c r="I16" s="49"/>
    </row>
    <row r="17" spans="1:9" ht="21">
      <c r="A17" s="49"/>
      <c r="B17" s="56"/>
      <c r="C17" s="57"/>
      <c r="D17" s="402" t="s">
        <v>2</v>
      </c>
      <c r="E17" s="399" t="s">
        <v>3</v>
      </c>
      <c r="F17" s="401"/>
      <c r="G17" s="58">
        <f>'جدول محاسبات'!F4</f>
        <v>0</v>
      </c>
      <c r="H17" s="59">
        <f>'جدول محاسبات'!G4</f>
        <v>0</v>
      </c>
      <c r="I17" s="49"/>
    </row>
    <row r="18" spans="1:9" ht="21">
      <c r="A18" s="49"/>
      <c r="B18" s="68"/>
      <c r="C18" s="69"/>
      <c r="D18" s="403"/>
      <c r="E18" s="399" t="s">
        <v>4</v>
      </c>
      <c r="F18" s="401"/>
      <c r="G18" s="58">
        <f>'جدول محاسبات'!F5</f>
        <v>0</v>
      </c>
      <c r="H18" s="59">
        <f>'جدول محاسبات'!G5</f>
        <v>0</v>
      </c>
      <c r="I18" s="49"/>
    </row>
    <row r="19" spans="1:9" ht="24">
      <c r="A19" s="49"/>
      <c r="B19" s="413" t="s">
        <v>115</v>
      </c>
      <c r="C19" s="414"/>
      <c r="D19" s="403"/>
      <c r="E19" s="399" t="s">
        <v>5</v>
      </c>
      <c r="F19" s="401"/>
      <c r="G19" s="58">
        <f>'جدول محاسبات'!F6</f>
        <v>0</v>
      </c>
      <c r="H19" s="59">
        <f>'جدول محاسبات'!G6</f>
        <v>0</v>
      </c>
      <c r="I19" s="49"/>
    </row>
    <row r="20" spans="1:9" ht="21">
      <c r="A20" s="49"/>
      <c r="B20" s="68"/>
      <c r="C20" s="69"/>
      <c r="D20" s="404"/>
      <c r="E20" s="405" t="s">
        <v>6</v>
      </c>
      <c r="F20" s="406"/>
      <c r="G20" s="60">
        <f>SUM(G17:G19)</f>
        <v>0</v>
      </c>
      <c r="H20" s="61">
        <f>SUM(H17:H19)</f>
        <v>0</v>
      </c>
      <c r="I20" s="49"/>
    </row>
    <row r="21" spans="1:9" ht="21">
      <c r="A21" s="49"/>
      <c r="B21" s="68"/>
      <c r="C21" s="69"/>
      <c r="D21" s="399" t="s">
        <v>7</v>
      </c>
      <c r="E21" s="400"/>
      <c r="F21" s="401"/>
      <c r="G21" s="58"/>
      <c r="H21" s="59">
        <f>'جدول محاسبات'!G8</f>
        <v>0</v>
      </c>
      <c r="I21" s="49"/>
    </row>
    <row r="22" spans="1:9" ht="21">
      <c r="A22" s="49"/>
      <c r="B22" s="68"/>
      <c r="C22" s="69"/>
      <c r="D22" s="399" t="s">
        <v>8</v>
      </c>
      <c r="E22" s="400"/>
      <c r="F22" s="401"/>
      <c r="G22" s="58">
        <f>'جدول محاسبات'!F9</f>
        <v>0</v>
      </c>
      <c r="H22" s="59">
        <f>'جدول محاسبات'!G9</f>
        <v>0</v>
      </c>
      <c r="I22" s="49"/>
    </row>
    <row r="23" spans="1:9" ht="21">
      <c r="A23" s="49"/>
      <c r="B23" s="68"/>
      <c r="C23" s="69"/>
      <c r="D23" s="399" t="s">
        <v>36</v>
      </c>
      <c r="E23" s="400"/>
      <c r="F23" s="401"/>
      <c r="G23" s="58"/>
      <c r="H23" s="59">
        <f>'جدول محاسبات'!G10</f>
        <v>0</v>
      </c>
      <c r="I23" s="49"/>
    </row>
    <row r="24" spans="1:9" ht="21">
      <c r="A24" s="49"/>
      <c r="B24" s="68"/>
      <c r="C24" s="190"/>
      <c r="D24" s="399" t="s">
        <v>215</v>
      </c>
      <c r="E24" s="400"/>
      <c r="F24" s="401"/>
      <c r="G24" s="58"/>
      <c r="H24" s="59">
        <f>'جدول محاسبات'!G11</f>
        <v>0</v>
      </c>
      <c r="I24" s="49"/>
    </row>
    <row r="25" spans="1:9" ht="21">
      <c r="A25" s="49"/>
      <c r="B25" s="418"/>
      <c r="C25" s="419"/>
      <c r="D25" s="399" t="s">
        <v>200</v>
      </c>
      <c r="E25" s="400"/>
      <c r="F25" s="401"/>
      <c r="G25" s="58"/>
      <c r="H25" s="59">
        <f>'جدول محاسبات'!G12</f>
        <v>0</v>
      </c>
      <c r="I25" s="49"/>
    </row>
    <row r="26" spans="1:9" ht="21">
      <c r="A26" s="49"/>
      <c r="B26" s="420"/>
      <c r="C26" s="421"/>
      <c r="D26" s="399" t="s">
        <v>201</v>
      </c>
      <c r="E26" s="400"/>
      <c r="F26" s="401"/>
      <c r="G26" s="58"/>
      <c r="H26" s="59">
        <f>'جدول محاسبات'!G13</f>
        <v>0</v>
      </c>
      <c r="I26" s="49"/>
    </row>
    <row r="27" spans="1:9" ht="21">
      <c r="A27" s="49"/>
      <c r="B27" s="418"/>
      <c r="C27" s="419"/>
      <c r="D27" s="399" t="s">
        <v>202</v>
      </c>
      <c r="E27" s="400"/>
      <c r="F27" s="401"/>
      <c r="G27" s="58">
        <f>'جدول محاسبات'!F14</f>
        <v>0</v>
      </c>
      <c r="H27" s="59">
        <f>'جدول محاسبات'!G14</f>
        <v>0</v>
      </c>
      <c r="I27" s="49"/>
    </row>
    <row r="28" spans="1:9" ht="21">
      <c r="A28" s="49"/>
      <c r="B28" s="418"/>
      <c r="C28" s="419"/>
      <c r="D28" s="399" t="s">
        <v>203</v>
      </c>
      <c r="E28" s="400"/>
      <c r="F28" s="401"/>
      <c r="G28" s="58"/>
      <c r="H28" s="59">
        <f>'جدول محاسبات'!G15</f>
        <v>0</v>
      </c>
      <c r="I28" s="49"/>
    </row>
    <row r="29" spans="1:9" ht="21">
      <c r="A29" s="70"/>
      <c r="B29" s="420"/>
      <c r="C29" s="422"/>
      <c r="D29" s="399" t="s">
        <v>204</v>
      </c>
      <c r="E29" s="400"/>
      <c r="F29" s="401"/>
      <c r="G29" s="58">
        <f>'جدول محاسبات'!F16</f>
        <v>0</v>
      </c>
      <c r="H29" s="59">
        <f>'جدول محاسبات'!G16</f>
        <v>0</v>
      </c>
      <c r="I29" s="49"/>
    </row>
    <row r="30" spans="1:9" ht="21">
      <c r="A30" s="71"/>
      <c r="B30" s="420"/>
      <c r="C30" s="422"/>
      <c r="D30" s="399" t="s">
        <v>205</v>
      </c>
      <c r="E30" s="400"/>
      <c r="F30" s="401"/>
      <c r="G30" s="58">
        <f>'جدول محاسبات'!F17</f>
        <v>0</v>
      </c>
      <c r="H30" s="59">
        <f>'جدول محاسبات'!G17</f>
        <v>0</v>
      </c>
      <c r="I30" s="49"/>
    </row>
    <row r="31" spans="1:9" ht="21">
      <c r="A31" s="49"/>
      <c r="B31" s="68"/>
      <c r="C31" s="69"/>
      <c r="D31" s="399" t="s">
        <v>206</v>
      </c>
      <c r="E31" s="400"/>
      <c r="F31" s="401"/>
      <c r="G31" s="58">
        <f>'جدول محاسبات'!F18</f>
        <v>0</v>
      </c>
      <c r="H31" s="59">
        <f>'جدول محاسبات'!G18</f>
        <v>0</v>
      </c>
      <c r="I31" s="49"/>
    </row>
    <row r="32" spans="1:9" ht="21">
      <c r="A32" s="49"/>
      <c r="B32" s="56"/>
      <c r="C32" s="57"/>
      <c r="D32" s="399" t="s">
        <v>207</v>
      </c>
      <c r="E32" s="400"/>
      <c r="F32" s="401"/>
      <c r="G32" s="58">
        <f>'جدول محاسبات'!F19</f>
        <v>0</v>
      </c>
      <c r="H32" s="59">
        <f>'جدول محاسبات'!G19</f>
        <v>0</v>
      </c>
      <c r="I32" s="49"/>
    </row>
    <row r="33" spans="1:9" ht="21">
      <c r="A33" s="49"/>
      <c r="B33" s="56"/>
      <c r="C33" s="57"/>
      <c r="D33" s="399" t="s">
        <v>208</v>
      </c>
      <c r="E33" s="400"/>
      <c r="F33" s="401"/>
      <c r="G33" s="58">
        <f>'جدول محاسبات'!F20</f>
        <v>0</v>
      </c>
      <c r="H33" s="59">
        <f>'جدول محاسبات'!G20</f>
        <v>0</v>
      </c>
      <c r="I33" s="49"/>
    </row>
    <row r="34" spans="1:9" ht="21">
      <c r="A34" s="49"/>
      <c r="B34" s="56"/>
      <c r="C34" s="57"/>
      <c r="D34" s="399" t="s">
        <v>209</v>
      </c>
      <c r="E34" s="400"/>
      <c r="F34" s="401"/>
      <c r="G34" s="58"/>
      <c r="H34" s="59">
        <f>'جدول محاسبات'!G21</f>
        <v>0</v>
      </c>
      <c r="I34" s="49"/>
    </row>
    <row r="35" spans="1:9" ht="21">
      <c r="A35" s="49"/>
      <c r="B35" s="56"/>
      <c r="C35" s="57"/>
      <c r="D35" s="399" t="s">
        <v>210</v>
      </c>
      <c r="E35" s="400"/>
      <c r="F35" s="401"/>
      <c r="G35" s="58">
        <f>'جدول محاسبات'!F23</f>
        <v>0</v>
      </c>
      <c r="H35" s="59">
        <f>'جدول محاسبات'!G23</f>
        <v>0</v>
      </c>
      <c r="I35" s="49"/>
    </row>
    <row r="36" spans="1:9" ht="21">
      <c r="A36" s="49"/>
      <c r="B36" s="56"/>
      <c r="C36" s="57"/>
      <c r="D36" s="399" t="s">
        <v>211</v>
      </c>
      <c r="E36" s="400"/>
      <c r="F36" s="401"/>
      <c r="G36" s="58">
        <f>'جدول محاسبات'!F24</f>
        <v>0</v>
      </c>
      <c r="H36" s="59">
        <f>'جدول محاسبات'!G24</f>
        <v>0</v>
      </c>
      <c r="I36" s="49"/>
    </row>
    <row r="37" spans="1:9" ht="21">
      <c r="A37" s="49"/>
      <c r="B37" s="56"/>
      <c r="C37" s="57"/>
      <c r="D37" s="399" t="s">
        <v>212</v>
      </c>
      <c r="E37" s="400"/>
      <c r="F37" s="401"/>
      <c r="G37" s="58"/>
      <c r="H37" s="59">
        <f>'جدول محاسبات'!G26</f>
        <v>67198800</v>
      </c>
      <c r="I37" s="49"/>
    </row>
    <row r="38" spans="1:9" ht="21">
      <c r="A38" s="49"/>
      <c r="B38" s="56"/>
      <c r="C38" s="57"/>
      <c r="D38" s="399" t="s">
        <v>230</v>
      </c>
      <c r="E38" s="400"/>
      <c r="F38" s="401"/>
      <c r="G38" s="58"/>
      <c r="H38" s="59">
        <f>'جدول محاسبات'!G22</f>
        <v>0</v>
      </c>
      <c r="I38" s="49"/>
    </row>
    <row r="39" spans="1:9" ht="21">
      <c r="A39" s="49"/>
      <c r="B39" s="56"/>
      <c r="C39" s="57"/>
      <c r="D39" s="399" t="s">
        <v>256</v>
      </c>
      <c r="E39" s="400"/>
      <c r="F39" s="401"/>
      <c r="G39" s="58"/>
      <c r="H39" s="59">
        <f>'جدول محاسبات'!G29</f>
        <v>0</v>
      </c>
      <c r="I39" s="49"/>
    </row>
    <row r="40" spans="1:9" ht="21">
      <c r="A40" s="49"/>
      <c r="B40" s="56"/>
      <c r="C40" s="57"/>
      <c r="D40" s="399" t="s">
        <v>255</v>
      </c>
      <c r="E40" s="400"/>
      <c r="F40" s="401"/>
      <c r="G40" s="58">
        <v>3000</v>
      </c>
      <c r="H40" s="59">
        <f>'جدول محاسبات'!G28</f>
        <v>12072000</v>
      </c>
      <c r="I40" s="49"/>
    </row>
    <row r="41" spans="1:9" ht="21">
      <c r="A41" s="49"/>
      <c r="B41" s="56"/>
      <c r="C41" s="57"/>
      <c r="D41" s="399" t="s">
        <v>281</v>
      </c>
      <c r="E41" s="400"/>
      <c r="F41" s="401"/>
      <c r="G41" s="58">
        <f>'جدول محاسبات'!F30</f>
        <v>0</v>
      </c>
      <c r="H41" s="59">
        <f>'جدول محاسبات'!G30</f>
        <v>0</v>
      </c>
      <c r="I41" s="49"/>
    </row>
    <row r="42" spans="1:9" ht="21">
      <c r="A42" s="49"/>
      <c r="B42" s="62"/>
      <c r="C42" s="63"/>
      <c r="D42" s="433" t="s">
        <v>9</v>
      </c>
      <c r="E42" s="434"/>
      <c r="F42" s="435"/>
      <c r="G42" s="64">
        <f>SUM(G20:G41)</f>
        <v>3000</v>
      </c>
      <c r="H42" s="65">
        <f>SUM(H20:H41)</f>
        <v>79270800</v>
      </c>
      <c r="I42" s="49"/>
    </row>
    <row r="43" spans="1:9" ht="18">
      <c r="A43" s="49"/>
      <c r="B43" s="391" t="s">
        <v>111</v>
      </c>
      <c r="C43" s="394"/>
      <c r="D43" s="394"/>
      <c r="E43" s="394"/>
      <c r="F43" s="394"/>
      <c r="G43" s="394"/>
      <c r="H43" s="395"/>
      <c r="I43" s="49"/>
    </row>
    <row r="44" spans="1:9" ht="18">
      <c r="A44" s="49"/>
      <c r="B44" s="407" t="s">
        <v>35</v>
      </c>
      <c r="C44" s="408"/>
      <c r="D44" s="408"/>
      <c r="E44" s="408"/>
      <c r="F44" s="408"/>
      <c r="G44" s="408"/>
      <c r="H44" s="409"/>
      <c r="I44" s="49"/>
    </row>
    <row r="45" spans="1:9" ht="19.5">
      <c r="A45" s="49"/>
      <c r="B45" s="410" t="s">
        <v>112</v>
      </c>
      <c r="C45" s="411"/>
      <c r="D45" s="412" t="s">
        <v>79</v>
      </c>
      <c r="E45" s="388"/>
      <c r="F45" s="388"/>
      <c r="G45" s="388"/>
      <c r="H45" s="66"/>
      <c r="I45" s="49"/>
    </row>
    <row r="46" spans="1:9" ht="19.5">
      <c r="A46" s="49"/>
      <c r="B46" s="391" t="s">
        <v>80</v>
      </c>
      <c r="C46" s="394"/>
      <c r="D46" s="423"/>
      <c r="E46" s="423"/>
      <c r="F46" s="424"/>
      <c r="G46" s="425" t="s">
        <v>28</v>
      </c>
      <c r="H46" s="426"/>
      <c r="I46" s="49"/>
    </row>
    <row r="47" spans="1:9" ht="18">
      <c r="A47" s="49"/>
      <c r="B47" s="429" t="s">
        <v>113</v>
      </c>
      <c r="C47" s="430"/>
      <c r="D47" s="67"/>
      <c r="E47" s="67"/>
      <c r="F47" s="67"/>
      <c r="G47" s="425"/>
      <c r="H47" s="426"/>
      <c r="I47" s="49"/>
    </row>
    <row r="48" spans="1:9" ht="18">
      <c r="A48" s="49"/>
      <c r="B48" s="431" t="s">
        <v>27</v>
      </c>
      <c r="C48" s="432"/>
      <c r="D48" s="432" t="s">
        <v>81</v>
      </c>
      <c r="E48" s="432"/>
      <c r="F48" s="432"/>
      <c r="G48" s="427"/>
      <c r="H48" s="428"/>
      <c r="I48" s="49"/>
    </row>
    <row r="49" spans="1:9" ht="18">
      <c r="A49" s="49"/>
      <c r="B49" s="391" t="s">
        <v>82</v>
      </c>
      <c r="C49" s="394"/>
      <c r="D49" s="394"/>
      <c r="E49" s="394"/>
      <c r="F49" s="394"/>
      <c r="G49" s="394"/>
      <c r="H49" s="395"/>
      <c r="I49" s="49"/>
    </row>
    <row r="50" spans="1:9" ht="18.75" thickBot="1">
      <c r="B50" s="415" t="s">
        <v>83</v>
      </c>
      <c r="C50" s="416"/>
      <c r="D50" s="416"/>
      <c r="E50" s="416"/>
      <c r="F50" s="416"/>
      <c r="G50" s="416"/>
      <c r="H50" s="417"/>
    </row>
    <row r="51" spans="1:9">
      <c r="A51" s="49"/>
      <c r="B51" s="49"/>
      <c r="C51" s="49"/>
      <c r="D51" s="49"/>
      <c r="E51" s="49"/>
      <c r="F51" s="49"/>
      <c r="G51" s="49"/>
      <c r="H51" s="49"/>
      <c r="I51" s="49"/>
    </row>
    <row r="52" spans="1:9">
      <c r="A52" s="49"/>
      <c r="D52" s="49"/>
      <c r="E52" s="49"/>
      <c r="F52" s="49"/>
      <c r="G52" s="49"/>
      <c r="H52" s="49"/>
      <c r="I52" s="49"/>
    </row>
    <row r="53" spans="1:9" ht="108" customHeight="1">
      <c r="A53" s="49"/>
      <c r="D53" s="49"/>
      <c r="E53" s="49"/>
      <c r="F53" s="49"/>
      <c r="G53" s="49"/>
      <c r="H53" s="49"/>
      <c r="I53" s="49"/>
    </row>
    <row r="54" spans="1:9">
      <c r="A54" s="49"/>
      <c r="D54" s="49"/>
      <c r="E54" s="49"/>
      <c r="F54" s="49"/>
      <c r="G54" s="49"/>
      <c r="H54" s="49"/>
      <c r="I54" s="49"/>
    </row>
  </sheetData>
  <mergeCells count="78">
    <mergeCell ref="B19:C19"/>
    <mergeCell ref="B49:H49"/>
    <mergeCell ref="B50:H50"/>
    <mergeCell ref="B25:C25"/>
    <mergeCell ref="B26:C26"/>
    <mergeCell ref="B27:C27"/>
    <mergeCell ref="B28:C28"/>
    <mergeCell ref="B29:C29"/>
    <mergeCell ref="B30:C30"/>
    <mergeCell ref="B46:C46"/>
    <mergeCell ref="D46:F46"/>
    <mergeCell ref="G46:H48"/>
    <mergeCell ref="B47:C47"/>
    <mergeCell ref="B48:C48"/>
    <mergeCell ref="D48:F48"/>
    <mergeCell ref="D42:F42"/>
    <mergeCell ref="B43:H43"/>
    <mergeCell ref="B44:H44"/>
    <mergeCell ref="B45:C45"/>
    <mergeCell ref="D45:G45"/>
    <mergeCell ref="D32:F32"/>
    <mergeCell ref="D33:F33"/>
    <mergeCell ref="D38:F38"/>
    <mergeCell ref="D35:F35"/>
    <mergeCell ref="D36:F36"/>
    <mergeCell ref="D34:F34"/>
    <mergeCell ref="D37:F37"/>
    <mergeCell ref="D39:F39"/>
    <mergeCell ref="D40:F40"/>
    <mergeCell ref="D41:F41"/>
    <mergeCell ref="D31:F31"/>
    <mergeCell ref="D17:D20"/>
    <mergeCell ref="E17:F17"/>
    <mergeCell ref="E18:F18"/>
    <mergeCell ref="E19:F19"/>
    <mergeCell ref="E20:F20"/>
    <mergeCell ref="D21:F21"/>
    <mergeCell ref="D22:F22"/>
    <mergeCell ref="D23:F23"/>
    <mergeCell ref="D25:F25"/>
    <mergeCell ref="D26:F26"/>
    <mergeCell ref="D27:F27"/>
    <mergeCell ref="D28:F28"/>
    <mergeCell ref="D29:F29"/>
    <mergeCell ref="D30:F30"/>
    <mergeCell ref="D24:F24"/>
    <mergeCell ref="B13:H13"/>
    <mergeCell ref="B14:H14"/>
    <mergeCell ref="B15:C15"/>
    <mergeCell ref="D15:H15"/>
    <mergeCell ref="B16:C16"/>
    <mergeCell ref="D16:F16"/>
    <mergeCell ref="B10:C10"/>
    <mergeCell ref="D10:H10"/>
    <mergeCell ref="B11:C11"/>
    <mergeCell ref="E11:F11"/>
    <mergeCell ref="G11:H11"/>
    <mergeCell ref="C8:D8"/>
    <mergeCell ref="F8:G8"/>
    <mergeCell ref="B9:C9"/>
    <mergeCell ref="D9:E9"/>
    <mergeCell ref="F9:H9"/>
    <mergeCell ref="D12:H12"/>
    <mergeCell ref="C7:E7"/>
    <mergeCell ref="C6:E6"/>
    <mergeCell ref="F6:H6"/>
    <mergeCell ref="B1:B3"/>
    <mergeCell ref="C1:E1"/>
    <mergeCell ref="C2:E2"/>
    <mergeCell ref="G2:H2"/>
    <mergeCell ref="C3:E3"/>
    <mergeCell ref="G3:H3"/>
    <mergeCell ref="B4:C4"/>
    <mergeCell ref="D4:H4"/>
    <mergeCell ref="B5:C5"/>
    <mergeCell ref="D5:F5"/>
    <mergeCell ref="G5:H5"/>
    <mergeCell ref="F7:H7"/>
  </mergeCells>
  <hyperlinks>
    <hyperlink ref="B19:C19" location="'ورود اطلاعات'!A1" display="بازگشت به صفحه اصلی" xr:uid="{00000000-0004-0000-0200-000003000000}"/>
  </hyperlinks>
  <printOptions horizontalCentered="1" verticalCentered="1"/>
  <pageMargins left="0.11811023622047245" right="0.11811023622047245" top="0.19685039370078741" bottom="0.15748031496062992" header="0" footer="0"/>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7030A0"/>
    <pageSetUpPr fitToPage="1"/>
  </sheetPr>
  <dimension ref="A1:J57"/>
  <sheetViews>
    <sheetView showGridLines="0" showRowColHeaders="0" rightToLeft="1" topLeftCell="A19" workbookViewId="0">
      <selection activeCell="B25" sqref="B25:C25"/>
    </sheetView>
  </sheetViews>
  <sheetFormatPr defaultColWidth="9" defaultRowHeight="15"/>
  <cols>
    <col min="1" max="1" width="3.7109375" style="51" customWidth="1"/>
    <col min="2" max="2" width="34.28515625" style="51" customWidth="1"/>
    <col min="3" max="3" width="15" style="51" customWidth="1"/>
    <col min="4" max="4" width="17.7109375" style="51" customWidth="1"/>
    <col min="5" max="5" width="9.28515625" style="51" customWidth="1"/>
    <col min="6" max="6" width="11" style="51" customWidth="1"/>
    <col min="7" max="7" width="8.7109375" style="51" customWidth="1"/>
    <col min="8" max="9" width="13.7109375" style="51" customWidth="1"/>
    <col min="10" max="10" width="73.85546875" style="49" customWidth="1"/>
    <col min="11" max="11" width="32.28515625" style="51" customWidth="1"/>
    <col min="12" max="16384" width="9" style="51"/>
  </cols>
  <sheetData>
    <row r="1" spans="1:9" ht="29.25" customHeight="1">
      <c r="A1" s="49"/>
      <c r="B1" s="374" t="s">
        <v>266</v>
      </c>
      <c r="C1" s="375" t="s">
        <v>26</v>
      </c>
      <c r="D1" s="375"/>
      <c r="E1" s="375"/>
      <c r="F1" s="50"/>
      <c r="G1" s="50"/>
      <c r="H1" s="50"/>
      <c r="I1" s="49"/>
    </row>
    <row r="2" spans="1:9" ht="18">
      <c r="A2" s="49"/>
      <c r="B2" s="374"/>
      <c r="C2" s="372" t="s">
        <v>37</v>
      </c>
      <c r="D2" s="372"/>
      <c r="E2" s="372"/>
      <c r="F2" s="50"/>
      <c r="G2" s="376" t="s">
        <v>38</v>
      </c>
      <c r="H2" s="376"/>
      <c r="I2" s="49"/>
    </row>
    <row r="3" spans="1:9" ht="10.5" customHeight="1" thickBot="1">
      <c r="A3" s="49"/>
      <c r="B3" s="374"/>
      <c r="C3" s="377"/>
      <c r="D3" s="377"/>
      <c r="E3" s="377"/>
      <c r="F3" s="52"/>
      <c r="G3" s="378"/>
      <c r="H3" s="378"/>
      <c r="I3" s="49"/>
    </row>
    <row r="4" spans="1:9" ht="18">
      <c r="A4" s="49"/>
      <c r="B4" s="379" t="s">
        <v>85</v>
      </c>
      <c r="C4" s="380"/>
      <c r="D4" s="381" t="s">
        <v>84</v>
      </c>
      <c r="E4" s="382"/>
      <c r="F4" s="382"/>
      <c r="G4" s="383"/>
      <c r="H4" s="384"/>
      <c r="I4" s="49"/>
    </row>
    <row r="5" spans="1:9" ht="18">
      <c r="A5" s="49"/>
      <c r="B5" s="385" t="s">
        <v>86</v>
      </c>
      <c r="C5" s="370"/>
      <c r="D5" s="370" t="s">
        <v>87</v>
      </c>
      <c r="E5" s="370"/>
      <c r="F5" s="370"/>
      <c r="G5" s="370" t="s">
        <v>88</v>
      </c>
      <c r="H5" s="371"/>
      <c r="I5" s="49"/>
    </row>
    <row r="6" spans="1:9" ht="18">
      <c r="A6" s="49"/>
      <c r="B6" s="207" t="s">
        <v>89</v>
      </c>
      <c r="C6" s="372" t="s">
        <v>90</v>
      </c>
      <c r="D6" s="372"/>
      <c r="E6" s="372"/>
      <c r="F6" s="373" t="s">
        <v>91</v>
      </c>
      <c r="G6" s="370"/>
      <c r="H6" s="371"/>
      <c r="I6" s="49"/>
    </row>
    <row r="7" spans="1:9" ht="24">
      <c r="A7" s="49"/>
      <c r="B7" s="201" t="s">
        <v>92</v>
      </c>
      <c r="C7" s="370" t="s">
        <v>93</v>
      </c>
      <c r="D7" s="370"/>
      <c r="E7" s="370"/>
      <c r="F7" s="386" t="s">
        <v>94</v>
      </c>
      <c r="G7" s="386"/>
      <c r="H7" s="387"/>
      <c r="I7" s="49"/>
    </row>
    <row r="8" spans="1:9" ht="18">
      <c r="A8" s="49"/>
      <c r="B8" s="206" t="s">
        <v>34</v>
      </c>
      <c r="C8" s="388" t="s">
        <v>95</v>
      </c>
      <c r="D8" s="388"/>
      <c r="E8" s="202"/>
      <c r="F8" s="388" t="s">
        <v>96</v>
      </c>
      <c r="G8" s="388"/>
      <c r="H8" s="204"/>
      <c r="I8" s="49"/>
    </row>
    <row r="9" spans="1:9" ht="18">
      <c r="A9" s="49"/>
      <c r="B9" s="389" t="s">
        <v>97</v>
      </c>
      <c r="C9" s="388"/>
      <c r="D9" s="388" t="s">
        <v>98</v>
      </c>
      <c r="E9" s="388"/>
      <c r="F9" s="388" t="s">
        <v>99</v>
      </c>
      <c r="G9" s="388"/>
      <c r="H9" s="390"/>
      <c r="I9" s="49"/>
    </row>
    <row r="10" spans="1:9" ht="18">
      <c r="A10" s="49"/>
      <c r="B10" s="389" t="s">
        <v>101</v>
      </c>
      <c r="C10" s="388"/>
      <c r="D10" s="388" t="s">
        <v>100</v>
      </c>
      <c r="E10" s="388"/>
      <c r="F10" s="388"/>
      <c r="G10" s="388"/>
      <c r="H10" s="390"/>
      <c r="I10" s="49"/>
    </row>
    <row r="11" spans="1:9" ht="18">
      <c r="A11" s="49"/>
      <c r="B11" s="389" t="s">
        <v>102</v>
      </c>
      <c r="C11" s="388"/>
      <c r="D11" s="53" t="s">
        <v>103</v>
      </c>
      <c r="E11" s="388"/>
      <c r="F11" s="388"/>
      <c r="G11" s="388" t="s">
        <v>104</v>
      </c>
      <c r="H11" s="390"/>
      <c r="I11" s="49"/>
    </row>
    <row r="12" spans="1:9" ht="18">
      <c r="A12" s="49"/>
      <c r="B12" s="203" t="s">
        <v>105</v>
      </c>
      <c r="C12" s="205"/>
      <c r="D12" s="370" t="s">
        <v>106</v>
      </c>
      <c r="E12" s="370"/>
      <c r="F12" s="370"/>
      <c r="G12" s="370"/>
      <c r="H12" s="371"/>
      <c r="I12" s="49"/>
    </row>
    <row r="13" spans="1:9" ht="19.5">
      <c r="A13" s="49"/>
      <c r="B13" s="389" t="s">
        <v>107</v>
      </c>
      <c r="C13" s="388"/>
      <c r="D13" s="388"/>
      <c r="E13" s="388"/>
      <c r="F13" s="388"/>
      <c r="G13" s="388"/>
      <c r="H13" s="390"/>
      <c r="I13" s="49"/>
    </row>
    <row r="14" spans="1:9" ht="18">
      <c r="A14" s="49"/>
      <c r="B14" s="389" t="s">
        <v>77</v>
      </c>
      <c r="C14" s="388"/>
      <c r="D14" s="388"/>
      <c r="E14" s="388"/>
      <c r="F14" s="388"/>
      <c r="G14" s="388"/>
      <c r="H14" s="390"/>
      <c r="I14" s="49"/>
    </row>
    <row r="15" spans="1:9" ht="22.5">
      <c r="A15" s="49"/>
      <c r="B15" s="391" t="s">
        <v>108</v>
      </c>
      <c r="C15" s="392"/>
      <c r="D15" s="393" t="s">
        <v>109</v>
      </c>
      <c r="E15" s="394"/>
      <c r="F15" s="394"/>
      <c r="G15" s="394"/>
      <c r="H15" s="395"/>
      <c r="I15" s="49"/>
    </row>
    <row r="16" spans="1:9" ht="19.5">
      <c r="A16" s="49"/>
      <c r="B16" s="391" t="s">
        <v>110</v>
      </c>
      <c r="C16" s="392"/>
      <c r="D16" s="396" t="s">
        <v>78</v>
      </c>
      <c r="E16" s="397"/>
      <c r="F16" s="398"/>
      <c r="G16" s="54" t="s">
        <v>0</v>
      </c>
      <c r="H16" s="55" t="s">
        <v>1</v>
      </c>
      <c r="I16" s="49"/>
    </row>
    <row r="17" spans="1:9" ht="21" customHeight="1">
      <c r="A17" s="49"/>
      <c r="B17" s="56"/>
      <c r="C17" s="57"/>
      <c r="D17" s="402" t="s">
        <v>2</v>
      </c>
      <c r="E17" s="399" t="s">
        <v>3</v>
      </c>
      <c r="F17" s="401"/>
      <c r="G17" s="58">
        <f>'جدول محاسبات'!H4</f>
        <v>0</v>
      </c>
      <c r="H17" s="59">
        <f>'جدول محاسبات'!I4</f>
        <v>0</v>
      </c>
      <c r="I17" s="49"/>
    </row>
    <row r="18" spans="1:9" ht="21">
      <c r="A18" s="49"/>
      <c r="B18" s="56"/>
      <c r="C18" s="57"/>
      <c r="D18" s="403"/>
      <c r="E18" s="399" t="s">
        <v>4</v>
      </c>
      <c r="F18" s="401"/>
      <c r="G18" s="58">
        <f>'جدول محاسبات'!H5</f>
        <v>0</v>
      </c>
      <c r="H18" s="59">
        <f>'جدول محاسبات'!I5</f>
        <v>0</v>
      </c>
      <c r="I18" s="49"/>
    </row>
    <row r="19" spans="1:9" ht="21">
      <c r="A19" s="49"/>
      <c r="B19" s="56"/>
      <c r="C19" s="57"/>
      <c r="D19" s="403"/>
      <c r="E19" s="399" t="s">
        <v>5</v>
      </c>
      <c r="F19" s="401"/>
      <c r="G19" s="58">
        <f>'جدول محاسبات'!H6</f>
        <v>0</v>
      </c>
      <c r="H19" s="59">
        <f>'جدول محاسبات'!I6</f>
        <v>0</v>
      </c>
      <c r="I19" s="49"/>
    </row>
    <row r="20" spans="1:9" ht="21">
      <c r="A20" s="49"/>
      <c r="B20" s="436"/>
      <c r="C20" s="437"/>
      <c r="D20" s="404"/>
      <c r="E20" s="405" t="s">
        <v>6</v>
      </c>
      <c r="F20" s="406"/>
      <c r="G20" s="60">
        <f>SUM(G17:G19)</f>
        <v>0</v>
      </c>
      <c r="H20" s="61">
        <f>SUM(H17:H19)</f>
        <v>0</v>
      </c>
      <c r="I20" s="49"/>
    </row>
    <row r="21" spans="1:9" ht="21">
      <c r="A21" s="49"/>
      <c r="B21" s="438"/>
      <c r="C21" s="439"/>
      <c r="D21" s="399" t="s">
        <v>7</v>
      </c>
      <c r="E21" s="400"/>
      <c r="F21" s="401"/>
      <c r="G21" s="58"/>
      <c r="H21" s="59">
        <f>'جدول محاسبات'!I8</f>
        <v>0</v>
      </c>
      <c r="I21" s="49"/>
    </row>
    <row r="22" spans="1:9" ht="21">
      <c r="A22" s="49"/>
      <c r="B22" s="436"/>
      <c r="C22" s="437"/>
      <c r="D22" s="399" t="s">
        <v>8</v>
      </c>
      <c r="E22" s="400"/>
      <c r="F22" s="401"/>
      <c r="G22" s="58">
        <f>'جدول محاسبات'!H9</f>
        <v>0</v>
      </c>
      <c r="H22" s="59">
        <f>'جدول محاسبات'!I9</f>
        <v>0</v>
      </c>
      <c r="I22" s="49"/>
    </row>
    <row r="23" spans="1:9" ht="21">
      <c r="A23" s="49"/>
      <c r="B23" s="436"/>
      <c r="C23" s="437"/>
      <c r="D23" s="399" t="s">
        <v>36</v>
      </c>
      <c r="E23" s="400"/>
      <c r="F23" s="401"/>
      <c r="G23" s="58"/>
      <c r="H23" s="59">
        <f>'جدول محاسبات'!I10</f>
        <v>0</v>
      </c>
      <c r="I23" s="49"/>
    </row>
    <row r="24" spans="1:9" ht="21">
      <c r="A24" s="49"/>
      <c r="B24" s="440"/>
      <c r="C24" s="441"/>
      <c r="D24" s="399" t="s">
        <v>215</v>
      </c>
      <c r="E24" s="400"/>
      <c r="F24" s="401"/>
      <c r="G24" s="58"/>
      <c r="H24" s="59">
        <f>'جدول محاسبات'!I11</f>
        <v>0</v>
      </c>
      <c r="I24" s="49"/>
    </row>
    <row r="25" spans="1:9" ht="21">
      <c r="A25" s="49"/>
      <c r="B25" s="440"/>
      <c r="C25" s="441"/>
      <c r="D25" s="399" t="s">
        <v>200</v>
      </c>
      <c r="E25" s="400"/>
      <c r="F25" s="401"/>
      <c r="G25" s="58"/>
      <c r="H25" s="59">
        <f>'جدول محاسبات'!I12</f>
        <v>0</v>
      </c>
      <c r="I25" s="49"/>
    </row>
    <row r="26" spans="1:9" ht="21">
      <c r="A26" s="49"/>
      <c r="B26" s="56"/>
      <c r="C26" s="57"/>
      <c r="D26" s="399" t="s">
        <v>201</v>
      </c>
      <c r="E26" s="400"/>
      <c r="F26" s="401"/>
      <c r="G26" s="58"/>
      <c r="H26" s="59">
        <f>'جدول محاسبات'!I13</f>
        <v>0</v>
      </c>
      <c r="I26" s="49"/>
    </row>
    <row r="27" spans="1:9" ht="21">
      <c r="A27" s="49"/>
      <c r="B27" s="56"/>
      <c r="C27" s="57"/>
      <c r="D27" s="399" t="s">
        <v>202</v>
      </c>
      <c r="E27" s="400"/>
      <c r="F27" s="401"/>
      <c r="G27" s="58">
        <f>'جدول محاسبات'!H14</f>
        <v>0</v>
      </c>
      <c r="H27" s="59">
        <f>'جدول محاسبات'!I14</f>
        <v>0</v>
      </c>
      <c r="I27" s="49"/>
    </row>
    <row r="28" spans="1:9" ht="21">
      <c r="A28" s="49"/>
      <c r="B28" s="56"/>
      <c r="C28" s="57"/>
      <c r="D28" s="399" t="s">
        <v>203</v>
      </c>
      <c r="E28" s="400"/>
      <c r="F28" s="401"/>
      <c r="G28" s="58"/>
      <c r="H28" s="59">
        <f>'جدول محاسبات'!I15</f>
        <v>0</v>
      </c>
      <c r="I28" s="49"/>
    </row>
    <row r="29" spans="1:9" ht="21">
      <c r="A29" s="49"/>
      <c r="B29" s="56"/>
      <c r="C29" s="57"/>
      <c r="D29" s="399" t="s">
        <v>204</v>
      </c>
      <c r="E29" s="400"/>
      <c r="F29" s="401"/>
      <c r="G29" s="58">
        <f>'جدول محاسبات'!H16</f>
        <v>0</v>
      </c>
      <c r="H29" s="59">
        <f>'جدول محاسبات'!I16</f>
        <v>0</v>
      </c>
      <c r="I29" s="49"/>
    </row>
    <row r="30" spans="1:9" ht="21">
      <c r="A30" s="49"/>
      <c r="B30" s="56"/>
      <c r="C30" s="57"/>
      <c r="D30" s="399" t="s">
        <v>205</v>
      </c>
      <c r="E30" s="400"/>
      <c r="F30" s="401"/>
      <c r="G30" s="58">
        <f>'جدول محاسبات'!H17</f>
        <v>0</v>
      </c>
      <c r="H30" s="59">
        <f>'جدول محاسبات'!I17</f>
        <v>0</v>
      </c>
      <c r="I30" s="49"/>
    </row>
    <row r="31" spans="1:9" ht="24">
      <c r="A31" s="49"/>
      <c r="B31" s="442" t="s">
        <v>115</v>
      </c>
      <c r="C31" s="443"/>
      <c r="D31" s="399" t="s">
        <v>206</v>
      </c>
      <c r="E31" s="400"/>
      <c r="F31" s="401"/>
      <c r="G31" s="58">
        <f>'جدول محاسبات'!H18</f>
        <v>0</v>
      </c>
      <c r="H31" s="59">
        <f>'جدول محاسبات'!I18</f>
        <v>0</v>
      </c>
      <c r="I31" s="49"/>
    </row>
    <row r="32" spans="1:9" ht="21">
      <c r="A32" s="49"/>
      <c r="B32" s="444"/>
      <c r="C32" s="445"/>
      <c r="D32" s="399" t="s">
        <v>207</v>
      </c>
      <c r="E32" s="400"/>
      <c r="F32" s="401"/>
      <c r="G32" s="58">
        <f>'جدول محاسبات'!H19</f>
        <v>0</v>
      </c>
      <c r="H32" s="59">
        <f>'جدول محاسبات'!I19</f>
        <v>0</v>
      </c>
      <c r="I32" s="49"/>
    </row>
    <row r="33" spans="1:9" ht="21">
      <c r="A33" s="49"/>
      <c r="B33" s="56"/>
      <c r="C33" s="57"/>
      <c r="D33" s="399" t="s">
        <v>208</v>
      </c>
      <c r="E33" s="400"/>
      <c r="F33" s="401"/>
      <c r="G33" s="58">
        <f>'جدول محاسبات'!H20</f>
        <v>0</v>
      </c>
      <c r="H33" s="59">
        <f>'جدول محاسبات'!I20</f>
        <v>0</v>
      </c>
      <c r="I33" s="49"/>
    </row>
    <row r="34" spans="1:9" ht="21">
      <c r="A34" s="49"/>
      <c r="B34" s="56"/>
      <c r="C34" s="57"/>
      <c r="D34" s="399" t="s">
        <v>209</v>
      </c>
      <c r="E34" s="400"/>
      <c r="F34" s="401"/>
      <c r="G34" s="58"/>
      <c r="H34" s="59">
        <f>'جدول محاسبات'!I21</f>
        <v>0</v>
      </c>
      <c r="I34" s="49"/>
    </row>
    <row r="35" spans="1:9" ht="21">
      <c r="A35" s="49"/>
      <c r="B35" s="56"/>
      <c r="C35" s="57"/>
      <c r="D35" s="399" t="s">
        <v>243</v>
      </c>
      <c r="E35" s="400"/>
      <c r="F35" s="401"/>
      <c r="G35" s="58"/>
      <c r="H35" s="59">
        <f>'جدول محاسبات'!I25</f>
        <v>0</v>
      </c>
      <c r="I35" s="49"/>
    </row>
    <row r="36" spans="1:9" ht="21">
      <c r="A36" s="49"/>
      <c r="B36" s="56"/>
      <c r="C36" s="57"/>
      <c r="D36" s="399" t="s">
        <v>287</v>
      </c>
      <c r="E36" s="400"/>
      <c r="F36" s="401"/>
      <c r="G36" s="58"/>
      <c r="H36" s="59">
        <f>'جدول محاسبات'!I27</f>
        <v>85513000</v>
      </c>
      <c r="I36" s="49"/>
    </row>
    <row r="37" spans="1:9" ht="21">
      <c r="A37" s="49"/>
      <c r="B37" s="56"/>
      <c r="C37" s="57"/>
      <c r="D37" s="399" t="s">
        <v>253</v>
      </c>
      <c r="E37" s="400"/>
      <c r="F37" s="401"/>
      <c r="G37" s="58"/>
      <c r="H37" s="227">
        <f>'جدول محاسبات'!I29</f>
        <v>0</v>
      </c>
      <c r="I37" s="49"/>
    </row>
    <row r="38" spans="1:9" ht="21">
      <c r="A38" s="49"/>
      <c r="B38" s="56"/>
      <c r="C38" s="57"/>
      <c r="D38" s="399" t="s">
        <v>230</v>
      </c>
      <c r="E38" s="400"/>
      <c r="F38" s="401"/>
      <c r="G38" s="58"/>
      <c r="H38" s="59">
        <f>'جدول محاسبات'!I22</f>
        <v>0</v>
      </c>
      <c r="I38" s="49"/>
    </row>
    <row r="39" spans="1:9" ht="21">
      <c r="A39" s="49"/>
      <c r="B39" s="56"/>
      <c r="C39" s="57"/>
      <c r="D39" s="399" t="s">
        <v>254</v>
      </c>
      <c r="E39" s="400"/>
      <c r="F39" s="401"/>
      <c r="G39" s="58">
        <v>3000</v>
      </c>
      <c r="H39" s="59">
        <f>'جدول محاسبات'!I28</f>
        <v>14487000</v>
      </c>
      <c r="I39" s="49"/>
    </row>
    <row r="40" spans="1:9" ht="21">
      <c r="A40" s="49"/>
      <c r="B40" s="56"/>
      <c r="C40" s="57"/>
      <c r="D40" s="399" t="s">
        <v>281</v>
      </c>
      <c r="E40" s="400"/>
      <c r="F40" s="401"/>
      <c r="G40" s="58">
        <f>'جدول محاسبات'!H30</f>
        <v>0</v>
      </c>
      <c r="H40" s="59">
        <f>'جدول محاسبات'!I30</f>
        <v>0</v>
      </c>
      <c r="I40" s="49"/>
    </row>
    <row r="41" spans="1:9" ht="20.100000000000001" customHeight="1">
      <c r="A41" s="49"/>
      <c r="B41" s="62"/>
      <c r="C41" s="63"/>
      <c r="D41" s="433" t="s">
        <v>9</v>
      </c>
      <c r="E41" s="434"/>
      <c r="F41" s="435"/>
      <c r="G41" s="64">
        <f>SUM(G20:G40)</f>
        <v>3000</v>
      </c>
      <c r="H41" s="65">
        <f>SUM(H20:H40)</f>
        <v>100000000</v>
      </c>
      <c r="I41" s="49"/>
    </row>
    <row r="42" spans="1:9" ht="18">
      <c r="A42" s="49"/>
      <c r="B42" s="391" t="s">
        <v>111</v>
      </c>
      <c r="C42" s="394"/>
      <c r="D42" s="394"/>
      <c r="E42" s="394"/>
      <c r="F42" s="394"/>
      <c r="G42" s="394"/>
      <c r="H42" s="395"/>
      <c r="I42" s="49"/>
    </row>
    <row r="43" spans="1:9" ht="18">
      <c r="A43" s="49"/>
      <c r="B43" s="407" t="s">
        <v>35</v>
      </c>
      <c r="C43" s="408"/>
      <c r="D43" s="408"/>
      <c r="E43" s="408"/>
      <c r="F43" s="408"/>
      <c r="G43" s="408"/>
      <c r="H43" s="409"/>
      <c r="I43" s="49"/>
    </row>
    <row r="44" spans="1:9" ht="19.5">
      <c r="A44" s="49"/>
      <c r="B44" s="410" t="s">
        <v>112</v>
      </c>
      <c r="C44" s="411"/>
      <c r="D44" s="412" t="s">
        <v>79</v>
      </c>
      <c r="E44" s="388"/>
      <c r="F44" s="388"/>
      <c r="G44" s="388"/>
      <c r="H44" s="66"/>
      <c r="I44" s="49"/>
    </row>
    <row r="45" spans="1:9" ht="19.5">
      <c r="A45" s="49"/>
      <c r="B45" s="391" t="s">
        <v>80</v>
      </c>
      <c r="C45" s="394"/>
      <c r="D45" s="423"/>
      <c r="E45" s="423"/>
      <c r="F45" s="424"/>
      <c r="G45" s="425" t="s">
        <v>28</v>
      </c>
      <c r="H45" s="426"/>
      <c r="I45" s="49"/>
    </row>
    <row r="46" spans="1:9" ht="18">
      <c r="A46" s="49"/>
      <c r="B46" s="429" t="s">
        <v>113</v>
      </c>
      <c r="C46" s="430"/>
      <c r="D46" s="67"/>
      <c r="E46" s="67"/>
      <c r="F46" s="67"/>
      <c r="G46" s="425"/>
      <c r="H46" s="426"/>
      <c r="I46" s="49"/>
    </row>
    <row r="47" spans="1:9" ht="18">
      <c r="A47" s="49"/>
      <c r="B47" s="431" t="s">
        <v>27</v>
      </c>
      <c r="C47" s="432"/>
      <c r="D47" s="432" t="s">
        <v>81</v>
      </c>
      <c r="E47" s="432"/>
      <c r="F47" s="432"/>
      <c r="G47" s="427"/>
      <c r="H47" s="428"/>
      <c r="I47" s="49"/>
    </row>
    <row r="48" spans="1:9" ht="18">
      <c r="A48" s="49"/>
      <c r="B48" s="391" t="s">
        <v>82</v>
      </c>
      <c r="C48" s="394"/>
      <c r="D48" s="394"/>
      <c r="E48" s="394"/>
      <c r="F48" s="394"/>
      <c r="G48" s="394"/>
      <c r="H48" s="395"/>
      <c r="I48" s="49"/>
    </row>
    <row r="49" spans="1:9" ht="18.75" thickBot="1">
      <c r="B49" s="415" t="s">
        <v>83</v>
      </c>
      <c r="C49" s="416"/>
      <c r="D49" s="416"/>
      <c r="E49" s="416"/>
      <c r="F49" s="416"/>
      <c r="G49" s="416"/>
      <c r="H49" s="417"/>
    </row>
    <row r="50" spans="1:9">
      <c r="A50" s="49"/>
      <c r="B50" s="49"/>
      <c r="C50" s="49"/>
      <c r="D50" s="49"/>
      <c r="E50" s="49"/>
      <c r="F50" s="49"/>
      <c r="G50" s="49"/>
      <c r="H50" s="49"/>
      <c r="I50" s="49"/>
    </row>
    <row r="51" spans="1:9" ht="143.25" customHeight="1">
      <c r="A51" s="49"/>
      <c r="D51" s="49"/>
      <c r="E51" s="49"/>
      <c r="F51" s="49"/>
      <c r="G51" s="49"/>
      <c r="H51" s="49"/>
      <c r="I51" s="49"/>
    </row>
    <row r="52" spans="1:9">
      <c r="A52" s="49"/>
      <c r="D52" s="49"/>
      <c r="E52" s="49"/>
      <c r="F52" s="49"/>
      <c r="G52" s="49"/>
      <c r="H52" s="49"/>
      <c r="I52" s="49"/>
    </row>
    <row r="53" spans="1:9">
      <c r="A53" s="49"/>
      <c r="D53" s="49"/>
      <c r="E53" s="49"/>
      <c r="F53" s="49"/>
      <c r="G53" s="49"/>
      <c r="H53" s="49"/>
      <c r="I53" s="49"/>
    </row>
    <row r="54" spans="1:9">
      <c r="A54" s="49"/>
      <c r="D54" s="49"/>
      <c r="E54" s="49"/>
      <c r="F54" s="49"/>
      <c r="G54" s="49"/>
      <c r="H54" s="49"/>
      <c r="I54" s="49"/>
    </row>
    <row r="55" spans="1:9">
      <c r="A55" s="49"/>
      <c r="D55" s="49"/>
      <c r="E55" s="49"/>
      <c r="F55" s="49"/>
      <c r="G55" s="49"/>
      <c r="H55" s="49"/>
      <c r="I55" s="49"/>
    </row>
    <row r="56" spans="1:9">
      <c r="A56" s="49"/>
      <c r="D56" s="49"/>
      <c r="E56" s="49"/>
      <c r="F56" s="49"/>
      <c r="G56" s="49"/>
      <c r="H56" s="49"/>
      <c r="I56" s="49"/>
    </row>
    <row r="57" spans="1:9">
      <c r="A57" s="49"/>
      <c r="B57" s="49"/>
      <c r="C57" s="49"/>
      <c r="D57" s="49"/>
      <c r="E57" s="49"/>
      <c r="F57" s="49"/>
      <c r="G57" s="49"/>
      <c r="H57" s="49"/>
      <c r="I57" s="49"/>
    </row>
  </sheetData>
  <mergeCells count="78">
    <mergeCell ref="B48:H48"/>
    <mergeCell ref="B49:H49"/>
    <mergeCell ref="B20:C20"/>
    <mergeCell ref="B21:C21"/>
    <mergeCell ref="B22:C22"/>
    <mergeCell ref="B23:C23"/>
    <mergeCell ref="B24:C24"/>
    <mergeCell ref="B25:C25"/>
    <mergeCell ref="B31:C31"/>
    <mergeCell ref="B32:C32"/>
    <mergeCell ref="B42:H42"/>
    <mergeCell ref="B43:H43"/>
    <mergeCell ref="B44:C44"/>
    <mergeCell ref="D44:G44"/>
    <mergeCell ref="B45:C45"/>
    <mergeCell ref="D45:F45"/>
    <mergeCell ref="G45:H47"/>
    <mergeCell ref="B46:C46"/>
    <mergeCell ref="B47:C47"/>
    <mergeCell ref="D47:F47"/>
    <mergeCell ref="D32:F32"/>
    <mergeCell ref="D33:F33"/>
    <mergeCell ref="D38:F38"/>
    <mergeCell ref="D41:F41"/>
    <mergeCell ref="D34:F34"/>
    <mergeCell ref="D37:F37"/>
    <mergeCell ref="D36:F36"/>
    <mergeCell ref="D35:F35"/>
    <mergeCell ref="D39:F39"/>
    <mergeCell ref="D40:F40"/>
    <mergeCell ref="D31:F31"/>
    <mergeCell ref="D17:D20"/>
    <mergeCell ref="E17:F17"/>
    <mergeCell ref="E18:F18"/>
    <mergeCell ref="E19:F19"/>
    <mergeCell ref="E20:F20"/>
    <mergeCell ref="D21:F21"/>
    <mergeCell ref="D22:F22"/>
    <mergeCell ref="D23:F23"/>
    <mergeCell ref="D25:F25"/>
    <mergeCell ref="D26:F26"/>
    <mergeCell ref="D27:F27"/>
    <mergeCell ref="D28:F28"/>
    <mergeCell ref="D29:F29"/>
    <mergeCell ref="D30:F30"/>
    <mergeCell ref="D24:F24"/>
    <mergeCell ref="B13:H13"/>
    <mergeCell ref="B14:H14"/>
    <mergeCell ref="B15:C15"/>
    <mergeCell ref="D15:H15"/>
    <mergeCell ref="B16:C16"/>
    <mergeCell ref="D16:F16"/>
    <mergeCell ref="D12:H12"/>
    <mergeCell ref="C7:E7"/>
    <mergeCell ref="F7:H7"/>
    <mergeCell ref="C8:D8"/>
    <mergeCell ref="F8:G8"/>
    <mergeCell ref="B9:C9"/>
    <mergeCell ref="D9:E9"/>
    <mergeCell ref="F9:H9"/>
    <mergeCell ref="B10:C10"/>
    <mergeCell ref="D10:H10"/>
    <mergeCell ref="B11:C11"/>
    <mergeCell ref="E11:F11"/>
    <mergeCell ref="G11:H11"/>
    <mergeCell ref="C6:E6"/>
    <mergeCell ref="F6:H6"/>
    <mergeCell ref="B1:B3"/>
    <mergeCell ref="C1:E1"/>
    <mergeCell ref="C2:E2"/>
    <mergeCell ref="G2:H2"/>
    <mergeCell ref="C3:E3"/>
    <mergeCell ref="G3:H3"/>
    <mergeCell ref="B4:C4"/>
    <mergeCell ref="D4:H4"/>
    <mergeCell ref="B5:C5"/>
    <mergeCell ref="D5:F5"/>
    <mergeCell ref="G5:H5"/>
  </mergeCells>
  <hyperlinks>
    <hyperlink ref="B31:C31" location="'ورود اطلاعات'!A1" display="بازگشت به صفحه اصلی" xr:uid="{00000000-0004-0000-0300-000003000000}"/>
  </hyperlinks>
  <printOptions horizontalCentered="1" verticalCentered="1"/>
  <pageMargins left="0.11811023622047245" right="0.11811023622047245" top="0.19685039370078741" bottom="0.15748031496062992" header="0" footer="0"/>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2:L45"/>
  <sheetViews>
    <sheetView rightToLeft="1" workbookViewId="0">
      <selection activeCell="C27" sqref="C27"/>
    </sheetView>
  </sheetViews>
  <sheetFormatPr defaultRowHeight="15"/>
  <cols>
    <col min="2" max="2" width="14.85546875" customWidth="1"/>
    <col min="3" max="3" width="16" customWidth="1"/>
    <col min="9" max="9" width="20.28515625" customWidth="1"/>
    <col min="10" max="10" width="23.7109375" customWidth="1"/>
    <col min="11" max="11" width="9.7109375" bestFit="1" customWidth="1"/>
    <col min="12" max="12" width="11.7109375" customWidth="1"/>
  </cols>
  <sheetData>
    <row r="2" spans="2:12">
      <c r="B2" s="238">
        <f>'ورود اطلاعات'!F6</f>
        <v>0</v>
      </c>
      <c r="C2" s="238">
        <f>B2*3048</f>
        <v>0</v>
      </c>
      <c r="E2" t="s">
        <v>161</v>
      </c>
      <c r="F2">
        <v>0</v>
      </c>
      <c r="G2">
        <v>0</v>
      </c>
      <c r="H2">
        <v>0</v>
      </c>
      <c r="I2">
        <v>0</v>
      </c>
      <c r="J2">
        <v>0</v>
      </c>
      <c r="K2">
        <v>0</v>
      </c>
      <c r="L2">
        <v>0</v>
      </c>
    </row>
    <row r="3" spans="2:12">
      <c r="B3" s="238">
        <f>'ورود اطلاعات'!F7</f>
        <v>0</v>
      </c>
      <c r="C3" s="238">
        <f>B3*3048</f>
        <v>0</v>
      </c>
      <c r="E3">
        <v>1360</v>
      </c>
      <c r="F3">
        <v>1822.5</v>
      </c>
      <c r="G3">
        <v>2280</v>
      </c>
      <c r="H3">
        <v>1</v>
      </c>
      <c r="I3">
        <v>1</v>
      </c>
      <c r="J3">
        <v>45</v>
      </c>
      <c r="K3" s="251">
        <f>J8*J3%</f>
        <v>0</v>
      </c>
      <c r="L3" s="251">
        <f>J9*J3%</f>
        <v>0</v>
      </c>
    </row>
    <row r="4" spans="2:12" ht="24">
      <c r="C4" s="195">
        <f>SUM(C2:C3)</f>
        <v>0</v>
      </c>
      <c r="E4">
        <v>1361</v>
      </c>
      <c r="F4">
        <v>1822.5</v>
      </c>
      <c r="G4">
        <v>2280</v>
      </c>
      <c r="H4">
        <v>2</v>
      </c>
      <c r="I4">
        <v>2</v>
      </c>
      <c r="J4">
        <v>55</v>
      </c>
      <c r="K4" s="251">
        <f>J8*J4%</f>
        <v>0</v>
      </c>
      <c r="L4" s="251">
        <f>J9*J4%</f>
        <v>0</v>
      </c>
    </row>
    <row r="5" spans="2:12">
      <c r="E5">
        <v>1362</v>
      </c>
      <c r="F5">
        <v>1822.5</v>
      </c>
      <c r="G5">
        <v>2280</v>
      </c>
      <c r="H5">
        <v>3</v>
      </c>
      <c r="I5">
        <v>3</v>
      </c>
      <c r="J5">
        <v>65</v>
      </c>
      <c r="K5" s="251">
        <f>J8*J5%</f>
        <v>0</v>
      </c>
      <c r="L5" s="251">
        <f>J9*J5%</f>
        <v>0</v>
      </c>
    </row>
    <row r="6" spans="2:12">
      <c r="E6">
        <v>1363</v>
      </c>
      <c r="F6">
        <v>1822.5</v>
      </c>
      <c r="G6">
        <v>2280</v>
      </c>
      <c r="H6">
        <v>4</v>
      </c>
      <c r="I6">
        <v>4</v>
      </c>
      <c r="J6">
        <v>75</v>
      </c>
      <c r="K6" s="251">
        <f>J8*J6%</f>
        <v>0</v>
      </c>
      <c r="L6" s="251">
        <f>J9*J6%</f>
        <v>0</v>
      </c>
    </row>
    <row r="7" spans="2:12">
      <c r="E7">
        <v>1364</v>
      </c>
      <c r="F7">
        <v>1822.5</v>
      </c>
      <c r="G7">
        <v>2280</v>
      </c>
      <c r="H7">
        <v>5</v>
      </c>
      <c r="I7">
        <v>5</v>
      </c>
      <c r="J7">
        <v>90</v>
      </c>
      <c r="K7" s="251">
        <f>J8*J7%</f>
        <v>0</v>
      </c>
      <c r="L7" s="251">
        <f>J9*J7%</f>
        <v>0</v>
      </c>
    </row>
    <row r="8" spans="2:12">
      <c r="C8" t="s">
        <v>12</v>
      </c>
      <c r="E8">
        <v>1365</v>
      </c>
      <c r="F8">
        <v>1822.5</v>
      </c>
      <c r="G8">
        <v>2280</v>
      </c>
      <c r="H8">
        <v>6</v>
      </c>
      <c r="I8" t="s">
        <v>249</v>
      </c>
      <c r="J8" s="250">
        <f>'جدول محاسبات'!G4+'جدول محاسبات'!G6+'جدول محاسبات'!G9</f>
        <v>0</v>
      </c>
    </row>
    <row r="9" spans="2:12">
      <c r="C9" t="s">
        <v>13</v>
      </c>
      <c r="E9">
        <v>1366</v>
      </c>
      <c r="F9">
        <v>1822.5</v>
      </c>
      <c r="G9">
        <v>2280</v>
      </c>
      <c r="H9">
        <v>7</v>
      </c>
      <c r="I9" t="s">
        <v>250</v>
      </c>
      <c r="J9" s="251">
        <f>'جدول محاسبات'!I4+'جدول محاسبات'!I6+'جدول محاسبات'!I9</f>
        <v>0</v>
      </c>
    </row>
    <row r="10" spans="2:12">
      <c r="E10">
        <v>1367</v>
      </c>
      <c r="F10">
        <v>1822.5</v>
      </c>
      <c r="G10">
        <v>2280</v>
      </c>
      <c r="H10">
        <v>8</v>
      </c>
    </row>
    <row r="11" spans="2:12">
      <c r="E11">
        <v>1368</v>
      </c>
      <c r="F11">
        <v>1822.5</v>
      </c>
      <c r="G11">
        <v>2280</v>
      </c>
      <c r="H11">
        <v>9</v>
      </c>
    </row>
    <row r="12" spans="2:12">
      <c r="E12">
        <v>1369</v>
      </c>
      <c r="F12">
        <v>1822.5</v>
      </c>
      <c r="G12">
        <v>2280</v>
      </c>
      <c r="K12" t="s">
        <v>246</v>
      </c>
      <c r="L12">
        <f>'ورود اطلاعات'!C17*630</f>
        <v>0</v>
      </c>
    </row>
    <row r="13" spans="2:12">
      <c r="E13">
        <v>1370</v>
      </c>
      <c r="F13">
        <v>1822.5</v>
      </c>
      <c r="G13">
        <v>2280</v>
      </c>
      <c r="K13">
        <v>1401</v>
      </c>
      <c r="L13">
        <f>Sheet1!J32*1890</f>
        <v>0</v>
      </c>
    </row>
    <row r="14" spans="2:12">
      <c r="E14">
        <v>1371</v>
      </c>
      <c r="F14">
        <v>1822.5</v>
      </c>
      <c r="G14">
        <v>2280</v>
      </c>
      <c r="K14">
        <v>1402</v>
      </c>
      <c r="L14">
        <v>0</v>
      </c>
    </row>
    <row r="15" spans="2:12">
      <c r="E15">
        <v>1372</v>
      </c>
      <c r="F15">
        <v>1822.5</v>
      </c>
      <c r="G15">
        <v>2280</v>
      </c>
    </row>
    <row r="16" spans="2:12">
      <c r="E16">
        <v>1373</v>
      </c>
      <c r="F16">
        <v>1822.5</v>
      </c>
      <c r="G16">
        <v>2280</v>
      </c>
    </row>
    <row r="17" spans="5:10">
      <c r="E17">
        <v>1374</v>
      </c>
      <c r="F17">
        <v>1822.5</v>
      </c>
      <c r="G17">
        <v>2280</v>
      </c>
    </row>
    <row r="18" spans="5:10">
      <c r="E18">
        <v>1375</v>
      </c>
      <c r="F18">
        <v>1822.5</v>
      </c>
      <c r="G18">
        <v>2280</v>
      </c>
    </row>
    <row r="19" spans="5:10">
      <c r="E19">
        <v>1376</v>
      </c>
      <c r="F19">
        <v>1822.5</v>
      </c>
      <c r="G19">
        <v>2280</v>
      </c>
      <c r="H19" s="254" t="s">
        <v>270</v>
      </c>
      <c r="I19" s="254">
        <v>2900</v>
      </c>
      <c r="J19" s="254">
        <f>I19*1.3</f>
        <v>3770</v>
      </c>
    </row>
    <row r="20" spans="5:10">
      <c r="E20">
        <v>1377</v>
      </c>
      <c r="F20">
        <v>1822.5</v>
      </c>
      <c r="G20">
        <v>2280</v>
      </c>
      <c r="H20" s="254" t="s">
        <v>271</v>
      </c>
      <c r="I20" s="254">
        <v>1780</v>
      </c>
      <c r="J20" s="254">
        <f>I20*1.3</f>
        <v>2314</v>
      </c>
    </row>
    <row r="21" spans="5:10">
      <c r="E21">
        <v>1378</v>
      </c>
      <c r="F21">
        <v>1822.5</v>
      </c>
      <c r="G21">
        <v>2280</v>
      </c>
      <c r="H21" s="254" t="s">
        <v>273</v>
      </c>
      <c r="I21" s="254">
        <f>IF('ورود اطلاعات'!C16="بلی",1,0)</f>
        <v>0</v>
      </c>
      <c r="J21" s="254" t="b">
        <f>AND(I21&gt;0,I22&gt;2)</f>
        <v>0</v>
      </c>
    </row>
    <row r="22" spans="5:10">
      <c r="E22">
        <v>1379</v>
      </c>
      <c r="F22">
        <v>1822.5</v>
      </c>
      <c r="G22">
        <v>2280</v>
      </c>
      <c r="H22" s="254" t="s">
        <v>272</v>
      </c>
      <c r="I22" s="255">
        <f>'ورود اطلاعات'!C17</f>
        <v>0</v>
      </c>
      <c r="J22" s="255">
        <f>I22-2</f>
        <v>-2</v>
      </c>
    </row>
    <row r="23" spans="5:10">
      <c r="E23">
        <v>1380</v>
      </c>
      <c r="F23">
        <v>1822.5</v>
      </c>
      <c r="G23">
        <v>2280</v>
      </c>
    </row>
    <row r="24" spans="5:10">
      <c r="E24">
        <v>1381</v>
      </c>
      <c r="F24">
        <v>1822.5</v>
      </c>
      <c r="G24">
        <v>2280</v>
      </c>
    </row>
    <row r="25" spans="5:10">
      <c r="E25">
        <v>1382</v>
      </c>
      <c r="F25">
        <v>1822.5</v>
      </c>
      <c r="G25">
        <v>2280</v>
      </c>
    </row>
    <row r="26" spans="5:10">
      <c r="E26">
        <v>1383</v>
      </c>
      <c r="F26">
        <v>1822.5</v>
      </c>
      <c r="G26">
        <v>2280</v>
      </c>
    </row>
    <row r="27" spans="5:10">
      <c r="E27">
        <v>1384</v>
      </c>
      <c r="F27">
        <v>1822.5</v>
      </c>
      <c r="G27">
        <v>2280</v>
      </c>
    </row>
    <row r="28" spans="5:10">
      <c r="E28">
        <v>1385</v>
      </c>
      <c r="F28">
        <v>1822.5</v>
      </c>
      <c r="G28">
        <v>2280</v>
      </c>
    </row>
    <row r="29" spans="5:10">
      <c r="E29">
        <v>1386</v>
      </c>
      <c r="F29">
        <v>1822.5</v>
      </c>
      <c r="G29">
        <v>2280</v>
      </c>
    </row>
    <row r="30" spans="5:10">
      <c r="E30">
        <v>1387</v>
      </c>
      <c r="F30">
        <v>1822.5</v>
      </c>
      <c r="G30">
        <v>2280</v>
      </c>
    </row>
    <row r="31" spans="5:10">
      <c r="E31">
        <v>1388</v>
      </c>
      <c r="F31">
        <v>1822.5</v>
      </c>
      <c r="G31">
        <v>2280</v>
      </c>
    </row>
    <row r="32" spans="5:10" ht="19.5">
      <c r="E32">
        <v>1389</v>
      </c>
      <c r="F32">
        <v>1822.5</v>
      </c>
      <c r="G32">
        <v>2280</v>
      </c>
      <c r="I32" s="253" t="s">
        <v>244</v>
      </c>
      <c r="J32" s="193">
        <v>0</v>
      </c>
    </row>
    <row r="33" spans="5:10" ht="19.5">
      <c r="E33">
        <v>1390</v>
      </c>
      <c r="F33">
        <v>1822.5</v>
      </c>
      <c r="G33">
        <v>2280</v>
      </c>
      <c r="I33" s="253" t="s">
        <v>245</v>
      </c>
      <c r="J33" s="193">
        <v>0</v>
      </c>
    </row>
    <row r="34" spans="5:10">
      <c r="E34">
        <v>1391</v>
      </c>
      <c r="F34">
        <v>1822.5</v>
      </c>
      <c r="G34">
        <v>2280</v>
      </c>
    </row>
    <row r="35" spans="5:10" ht="20.25">
      <c r="E35">
        <v>1392</v>
      </c>
      <c r="F35">
        <v>1822.5</v>
      </c>
      <c r="G35">
        <v>2280</v>
      </c>
      <c r="I35" s="446" t="s">
        <v>224</v>
      </c>
      <c r="J35" s="446"/>
    </row>
    <row r="36" spans="5:10">
      <c r="E36">
        <v>1393</v>
      </c>
      <c r="F36">
        <v>1822.5</v>
      </c>
      <c r="G36">
        <v>2280</v>
      </c>
    </row>
    <row r="37" spans="5:10">
      <c r="E37">
        <v>1394</v>
      </c>
      <c r="F37">
        <v>1822.5</v>
      </c>
      <c r="G37">
        <v>2280</v>
      </c>
    </row>
    <row r="38" spans="5:10">
      <c r="E38">
        <v>1395</v>
      </c>
      <c r="F38">
        <v>1822.5</v>
      </c>
      <c r="G38">
        <v>2280</v>
      </c>
    </row>
    <row r="39" spans="5:10">
      <c r="E39">
        <v>1396</v>
      </c>
      <c r="F39">
        <v>1822.5</v>
      </c>
      <c r="G39">
        <v>2280</v>
      </c>
    </row>
    <row r="40" spans="5:10">
      <c r="E40">
        <v>1397</v>
      </c>
      <c r="F40">
        <v>1822.5</v>
      </c>
      <c r="G40">
        <v>2280</v>
      </c>
    </row>
    <row r="41" spans="5:10">
      <c r="E41">
        <v>1398</v>
      </c>
      <c r="F41">
        <v>1822.5</v>
      </c>
      <c r="G41">
        <v>2280</v>
      </c>
    </row>
    <row r="42" spans="5:10">
      <c r="E42">
        <v>1399</v>
      </c>
      <c r="F42">
        <v>1822.5</v>
      </c>
      <c r="G42">
        <v>2280</v>
      </c>
    </row>
    <row r="43" spans="5:10">
      <c r="E43">
        <v>1400</v>
      </c>
      <c r="F43">
        <v>1822.5</v>
      </c>
      <c r="G43">
        <v>2280</v>
      </c>
    </row>
    <row r="44" spans="5:10">
      <c r="E44">
        <v>1401</v>
      </c>
      <c r="F44">
        <v>3645</v>
      </c>
      <c r="G44">
        <v>2280</v>
      </c>
    </row>
    <row r="45" spans="5:10">
      <c r="E45">
        <v>1402</v>
      </c>
      <c r="F45">
        <v>0</v>
      </c>
      <c r="G45">
        <v>2280</v>
      </c>
    </row>
  </sheetData>
  <mergeCells count="1">
    <mergeCell ref="I35:J35"/>
  </mergeCells>
  <dataValidations count="1">
    <dataValidation type="list" allowBlank="1" showInputMessage="1" showErrorMessage="1" errorTitle="توجه" error="تعداد فرزندان مشمول حق اولاد که در سال 1401 متولد شده اند" sqref="J32:J33" xr:uid="{74461C35-D824-4CB6-91C9-8F0A0DC447D2}">
      <formula1>$I$2:$I$7</formula1>
    </dataValidation>
  </dataValidations>
  <hyperlinks>
    <hyperlink ref="I35" r:id="rId1" display="https://shenasname.ir/" xr:uid="{00000000-0004-0000-0000-000005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AQ93"/>
  <sheetViews>
    <sheetView rightToLeft="1" topLeftCell="A7" zoomScale="145" zoomScaleNormal="145" workbookViewId="0">
      <selection activeCell="F13" sqref="F13"/>
    </sheetView>
  </sheetViews>
  <sheetFormatPr defaultColWidth="9" defaultRowHeight="15"/>
  <cols>
    <col min="1" max="4" width="9" style="113"/>
    <col min="5" max="5" width="15.42578125" style="113" bestFit="1" customWidth="1"/>
    <col min="6" max="6" width="11" style="113" customWidth="1"/>
    <col min="7" max="7" width="36.28515625" style="113" bestFit="1" customWidth="1"/>
    <col min="8" max="8" width="10.28515625" style="113" bestFit="1" customWidth="1"/>
    <col min="9" max="9" width="9" style="113"/>
    <col min="10" max="10" width="10.140625" style="113" bestFit="1" customWidth="1"/>
    <col min="11" max="14" width="9" style="113"/>
    <col min="15" max="15" width="9.5703125" style="113" bestFit="1" customWidth="1"/>
    <col min="16" max="16" width="10.85546875" style="113" bestFit="1" customWidth="1"/>
    <col min="17" max="23" width="9" style="113"/>
    <col min="24" max="24" width="8.140625" style="51" customWidth="1"/>
    <col min="25" max="25" width="18.7109375" style="51" customWidth="1"/>
    <col min="26" max="26" width="11.7109375" style="51" customWidth="1"/>
    <col min="27" max="27" width="12.7109375" style="51" customWidth="1"/>
    <col min="28" max="28" width="11.7109375" style="51" customWidth="1"/>
    <col min="29" max="29" width="12.7109375" style="51" customWidth="1"/>
    <col min="30" max="30" width="13.85546875" style="51" bestFit="1" customWidth="1"/>
    <col min="31" max="35" width="9.140625" style="51"/>
    <col min="36" max="36" width="14.7109375" style="51" customWidth="1"/>
    <col min="37" max="37" width="9.140625" style="51"/>
    <col min="38" max="38" width="11.28515625" style="51" bestFit="1" customWidth="1"/>
    <col min="39" max="39" width="9.140625" style="51"/>
    <col min="40" max="40" width="12.7109375" style="51" bestFit="1" customWidth="1"/>
    <col min="41" max="41" width="9.140625" style="51"/>
    <col min="42" max="42" width="16.28515625" style="51" bestFit="1" customWidth="1"/>
    <col min="43" max="43" width="10.28515625" style="51" customWidth="1"/>
    <col min="44" max="16384" width="9" style="113"/>
  </cols>
  <sheetData>
    <row r="1" spans="2:29" ht="15.75" thickBot="1">
      <c r="C1" s="126"/>
      <c r="O1" s="113">
        <v>0</v>
      </c>
      <c r="U1" s="113">
        <v>0</v>
      </c>
    </row>
    <row r="2" spans="2:29" ht="22.5">
      <c r="B2" s="127"/>
      <c r="C2" s="128">
        <v>4</v>
      </c>
      <c r="D2" s="129" t="s">
        <v>41</v>
      </c>
      <c r="E2" s="126" t="s">
        <v>33</v>
      </c>
      <c r="G2" s="196" t="s">
        <v>219</v>
      </c>
      <c r="H2" s="177">
        <f>SUM(Sheet2!N46:N63)</f>
        <v>0</v>
      </c>
      <c r="I2" s="177">
        <f>SUM('جدول محاسبات'!I7:I26)</f>
        <v>0</v>
      </c>
      <c r="L2" s="113">
        <v>0</v>
      </c>
      <c r="M2" s="113">
        <v>0</v>
      </c>
      <c r="O2" s="113">
        <v>700</v>
      </c>
      <c r="Q2" s="130" t="s">
        <v>55</v>
      </c>
      <c r="S2" s="113" t="s">
        <v>12</v>
      </c>
      <c r="U2" s="113">
        <v>1</v>
      </c>
    </row>
    <row r="3" spans="2:29" ht="23.25" thickBot="1">
      <c r="C3" s="128">
        <v>5</v>
      </c>
      <c r="D3" s="129" t="s">
        <v>42</v>
      </c>
      <c r="E3" s="126" t="s">
        <v>30</v>
      </c>
      <c r="G3" s="196" t="s">
        <v>220</v>
      </c>
      <c r="H3" s="177">
        <f>H2-'جدول محاسبات'!G31</f>
        <v>-79270800</v>
      </c>
      <c r="L3" s="113">
        <v>210</v>
      </c>
      <c r="M3" s="113">
        <v>810</v>
      </c>
      <c r="O3" s="113">
        <v>1500</v>
      </c>
      <c r="Q3" s="131" t="s">
        <v>56</v>
      </c>
      <c r="S3" s="113" t="s">
        <v>13</v>
      </c>
      <c r="U3" s="113">
        <v>2</v>
      </c>
    </row>
    <row r="4" spans="2:29" ht="23.25" thickBot="1">
      <c r="C4" s="128">
        <v>6</v>
      </c>
      <c r="D4" s="129" t="s">
        <v>43</v>
      </c>
      <c r="E4" s="126" t="s">
        <v>31</v>
      </c>
      <c r="G4" s="196" t="s">
        <v>217</v>
      </c>
      <c r="H4" s="177">
        <f>IF(H2&lt;35000000,35000000-H2,0)</f>
        <v>35000000</v>
      </c>
      <c r="L4" s="113">
        <v>420</v>
      </c>
      <c r="O4" s="113">
        <v>2000</v>
      </c>
      <c r="U4" s="113">
        <v>3</v>
      </c>
      <c r="Y4" s="132" t="s">
        <v>48</v>
      </c>
      <c r="Z4" s="133"/>
      <c r="AA4" s="134" t="s">
        <v>54</v>
      </c>
      <c r="AB4" s="135" t="s">
        <v>59</v>
      </c>
      <c r="AC4" s="134" t="s">
        <v>59</v>
      </c>
    </row>
    <row r="5" spans="2:29" ht="22.5">
      <c r="C5" s="128">
        <v>7</v>
      </c>
      <c r="D5" s="129" t="s">
        <v>44</v>
      </c>
      <c r="E5" s="126" t="s">
        <v>32</v>
      </c>
      <c r="G5" s="196" t="s">
        <v>218</v>
      </c>
      <c r="H5" s="191">
        <f>IF(H6&gt;0,H6-(H6*2),0)</f>
        <v>0</v>
      </c>
      <c r="L5" s="113">
        <v>630</v>
      </c>
      <c r="U5" s="113">
        <v>4</v>
      </c>
      <c r="Y5" s="136" t="s">
        <v>33</v>
      </c>
      <c r="Z5" s="1">
        <v>1300</v>
      </c>
      <c r="AA5" s="2">
        <f>IF(Y5=Sheet2!H24,Z5,0)</f>
        <v>0</v>
      </c>
      <c r="AB5" s="1">
        <v>18</v>
      </c>
      <c r="AC5" s="2">
        <f>IF(Sheet2!H24=Y5,AB5,0)</f>
        <v>0</v>
      </c>
    </row>
    <row r="6" spans="2:29" ht="22.5">
      <c r="C6" s="128">
        <v>8</v>
      </c>
      <c r="D6" s="129" t="s">
        <v>45</v>
      </c>
      <c r="E6" s="126" t="s">
        <v>46</v>
      </c>
      <c r="G6" s="196" t="s">
        <v>221</v>
      </c>
      <c r="H6" s="177">
        <f>H3-25000000</f>
        <v>-104270800</v>
      </c>
      <c r="L6" s="113">
        <v>840</v>
      </c>
      <c r="U6" s="113">
        <v>5</v>
      </c>
      <c r="Y6" s="137" t="s">
        <v>30</v>
      </c>
      <c r="Z6" s="3">
        <v>1450</v>
      </c>
      <c r="AA6" s="4">
        <f>IF(Y6=Sheet2!H24,Z6,0)</f>
        <v>0</v>
      </c>
      <c r="AB6" s="3">
        <v>25</v>
      </c>
      <c r="AC6" s="2">
        <f>IF(Sheet2!H24=Y6,AB6,0)</f>
        <v>0</v>
      </c>
    </row>
    <row r="7" spans="2:29" ht="22.5">
      <c r="C7" s="128">
        <v>9</v>
      </c>
      <c r="E7" s="126" t="s">
        <v>47</v>
      </c>
      <c r="G7" s="196"/>
      <c r="H7" s="144"/>
      <c r="L7" s="113">
        <v>1050</v>
      </c>
      <c r="U7" s="113">
        <v>6</v>
      </c>
      <c r="Y7" s="137" t="s">
        <v>31</v>
      </c>
      <c r="Z7" s="3">
        <v>1700</v>
      </c>
      <c r="AA7" s="4">
        <f>IF(Y7=Sheet2!H24,Z7,0)</f>
        <v>0</v>
      </c>
      <c r="AB7" s="3">
        <v>32</v>
      </c>
      <c r="AC7" s="2">
        <f>IF(Sheet2!H24=Y7,AB7,0)</f>
        <v>0</v>
      </c>
    </row>
    <row r="8" spans="2:29" ht="23.25" thickBot="1">
      <c r="C8" s="128">
        <v>10</v>
      </c>
      <c r="G8" s="196" t="s">
        <v>222</v>
      </c>
      <c r="H8" s="191"/>
      <c r="L8" s="113">
        <v>1260</v>
      </c>
      <c r="U8" s="113">
        <v>7</v>
      </c>
      <c r="Y8" s="137" t="s">
        <v>32</v>
      </c>
      <c r="Z8" s="3">
        <v>2100</v>
      </c>
      <c r="AA8" s="4">
        <f>IF(Y8=Sheet2!H24,Z8,0)</f>
        <v>2100</v>
      </c>
      <c r="AB8" s="3">
        <v>39</v>
      </c>
      <c r="AC8" s="2">
        <f>IF(Sheet2!H24=Y8,AB8,0)</f>
        <v>39</v>
      </c>
    </row>
    <row r="9" spans="2:29" ht="24.75" thickBot="1">
      <c r="C9" s="128">
        <v>11</v>
      </c>
      <c r="E9" s="244">
        <f>IF(Sheet2!I2&lt;79270800,79270800-Sheet2!I2,0)</f>
        <v>79270800</v>
      </c>
      <c r="G9" s="464"/>
      <c r="H9" s="464"/>
      <c r="L9" s="113">
        <v>1470</v>
      </c>
      <c r="U9" s="113">
        <v>8</v>
      </c>
      <c r="Y9" s="137" t="s">
        <v>46</v>
      </c>
      <c r="Z9" s="3">
        <v>2600</v>
      </c>
      <c r="AA9" s="4">
        <f>IF(Y9=Sheet2!H24,Z9,0)</f>
        <v>0</v>
      </c>
      <c r="AB9" s="3">
        <v>46</v>
      </c>
      <c r="AC9" s="2">
        <f>IF(Sheet2!H24=Y9,AB9,0)</f>
        <v>0</v>
      </c>
    </row>
    <row r="10" spans="2:29" ht="24.75" thickBot="1">
      <c r="C10" s="128">
        <v>12</v>
      </c>
      <c r="D10" s="113">
        <v>1402</v>
      </c>
      <c r="E10" s="247">
        <f>SUM('جدول محاسبات'!I7:I26,'جدول محاسبات'!I28)+'جدول محاسبات'!I30</f>
        <v>14487000</v>
      </c>
      <c r="F10" s="113">
        <v>100000000</v>
      </c>
      <c r="G10" s="112" t="s">
        <v>168</v>
      </c>
      <c r="H10" s="138">
        <v>0</v>
      </c>
      <c r="L10" s="113">
        <v>1680</v>
      </c>
      <c r="U10" s="113">
        <v>9</v>
      </c>
      <c r="Y10" s="139" t="s">
        <v>47</v>
      </c>
      <c r="Z10" s="5">
        <v>3100</v>
      </c>
      <c r="AA10" s="6">
        <f>IF(Y10=Sheet2!H24,Z10,0)</f>
        <v>0</v>
      </c>
      <c r="AB10" s="5">
        <v>53</v>
      </c>
      <c r="AC10" s="20">
        <f>IF(Sheet2!H24=Y10,AB10,0)</f>
        <v>0</v>
      </c>
    </row>
    <row r="11" spans="2:29" ht="23.25" thickBot="1">
      <c r="C11" s="128">
        <v>13</v>
      </c>
      <c r="E11" s="247">
        <f>SUM('جدول محاسبات'!G7:G25,'جدول محاسبات'!G28)+'جدول محاسبات'!G30</f>
        <v>12072000</v>
      </c>
      <c r="F11" s="113">
        <v>79270800</v>
      </c>
      <c r="U11" s="113">
        <v>10</v>
      </c>
      <c r="Y11" s="450" t="s">
        <v>54</v>
      </c>
      <c r="Z11" s="451"/>
      <c r="AA11" s="32">
        <f>SUM(AA5:AA10)</f>
        <v>2100</v>
      </c>
      <c r="AB11" s="24">
        <f>SUM(AC5:AC10)</f>
        <v>39</v>
      </c>
      <c r="AC11" s="21">
        <f>(AB11*Sheet2!H26)+((Sheet2!H27/12)*AB11)</f>
        <v>0</v>
      </c>
    </row>
    <row r="12" spans="2:29" ht="22.5">
      <c r="C12" s="128">
        <v>14</v>
      </c>
      <c r="U12" s="113">
        <v>11</v>
      </c>
      <c r="Y12" s="459" t="s">
        <v>62</v>
      </c>
      <c r="Z12" s="460"/>
      <c r="AA12" s="460"/>
      <c r="AB12" s="461"/>
      <c r="AC12" s="22">
        <f>Sheet2!H28/2</f>
        <v>0</v>
      </c>
    </row>
    <row r="13" spans="2:29" ht="23.25" thickBot="1">
      <c r="C13" s="128">
        <v>15</v>
      </c>
      <c r="U13" s="113">
        <v>12</v>
      </c>
      <c r="Y13" s="462" t="s">
        <v>63</v>
      </c>
      <c r="Z13" s="463"/>
      <c r="AA13" s="463"/>
      <c r="AB13" s="463"/>
      <c r="AC13" s="23">
        <f>AC11+AC12</f>
        <v>0</v>
      </c>
    </row>
    <row r="14" spans="2:29" ht="20.25" thickBot="1">
      <c r="C14" s="128">
        <v>16</v>
      </c>
      <c r="G14" s="464" t="s">
        <v>76</v>
      </c>
      <c r="H14" s="464"/>
      <c r="U14" s="113">
        <v>13</v>
      </c>
    </row>
    <row r="15" spans="2:29" ht="21">
      <c r="C15" s="128">
        <v>17</v>
      </c>
      <c r="G15" s="41" t="s">
        <v>71</v>
      </c>
      <c r="H15" s="140">
        <v>0</v>
      </c>
      <c r="U15" s="113">
        <v>14</v>
      </c>
    </row>
    <row r="16" spans="2:29" ht="21.75" thickBot="1">
      <c r="G16" s="43" t="s">
        <v>72</v>
      </c>
      <c r="H16" s="141">
        <v>0</v>
      </c>
      <c r="U16" s="113">
        <v>15</v>
      </c>
    </row>
    <row r="17" spans="5:32" ht="15.75" thickBot="1">
      <c r="U17" s="113">
        <v>16</v>
      </c>
    </row>
    <row r="18" spans="5:32">
      <c r="G18" s="466" t="s">
        <v>114</v>
      </c>
      <c r="H18" s="466"/>
      <c r="U18" s="113">
        <v>17</v>
      </c>
    </row>
    <row r="19" spans="5:32" ht="15.75" thickBot="1">
      <c r="G19" s="467"/>
      <c r="H19" s="467"/>
      <c r="U19" s="113">
        <v>18</v>
      </c>
    </row>
    <row r="20" spans="5:32" ht="15.75" thickBot="1">
      <c r="U20" s="113">
        <v>19</v>
      </c>
    </row>
    <row r="21" spans="5:32" ht="21.75" thickBot="1">
      <c r="G21" s="468" t="s">
        <v>53</v>
      </c>
      <c r="H21" s="469"/>
      <c r="L21" s="309" t="s">
        <v>234</v>
      </c>
      <c r="M21" s="309"/>
      <c r="U21" s="113">
        <v>20</v>
      </c>
    </row>
    <row r="22" spans="5:32" ht="24">
      <c r="E22" s="229">
        <f>ROUND('جدول محاسبات'!H6-'جدول محاسبات'!F6,0)</f>
        <v>0</v>
      </c>
      <c r="G22" s="42" t="s">
        <v>39</v>
      </c>
      <c r="H22" s="142">
        <v>5</v>
      </c>
      <c r="L22" s="237" t="s">
        <v>171</v>
      </c>
      <c r="M22" s="193" t="s">
        <v>173</v>
      </c>
      <c r="U22" s="113">
        <v>21</v>
      </c>
      <c r="X22" s="29" t="s">
        <v>49</v>
      </c>
      <c r="Y22" s="30" t="s">
        <v>0</v>
      </c>
      <c r="Z22" s="31"/>
      <c r="AA22" s="113"/>
      <c r="AB22" s="113"/>
      <c r="AC22" s="113"/>
      <c r="AD22" s="113"/>
    </row>
    <row r="23" spans="5:32" ht="22.5">
      <c r="G23" s="42" t="s">
        <v>40</v>
      </c>
      <c r="H23" s="142" t="s">
        <v>41</v>
      </c>
      <c r="U23" s="113">
        <v>22</v>
      </c>
      <c r="X23" s="28">
        <v>1</v>
      </c>
      <c r="Y23" s="7">
        <v>2400</v>
      </c>
      <c r="Z23" s="11">
        <f>IF(X23=Sheet2!H22,Y23,0)</f>
        <v>0</v>
      </c>
      <c r="AA23" s="113"/>
      <c r="AB23" s="113"/>
      <c r="AC23" s="113"/>
      <c r="AD23" s="113"/>
    </row>
    <row r="24" spans="5:32" ht="22.5">
      <c r="G24" s="42" t="s">
        <v>29</v>
      </c>
      <c r="H24" s="142" t="s">
        <v>32</v>
      </c>
      <c r="L24" s="309" t="s">
        <v>235</v>
      </c>
      <c r="M24" s="309"/>
      <c r="U24" s="113">
        <v>23</v>
      </c>
      <c r="X24" s="44">
        <v>2</v>
      </c>
      <c r="Y24" s="45">
        <v>2600</v>
      </c>
      <c r="Z24" s="4">
        <f>IF(X24=Sheet2!H22,Y24,0)</f>
        <v>0</v>
      </c>
      <c r="AA24" s="113"/>
      <c r="AB24" s="113"/>
      <c r="AC24" s="113"/>
      <c r="AD24" s="113"/>
    </row>
    <row r="25" spans="5:32" ht="22.5">
      <c r="G25" s="42" t="s">
        <v>57</v>
      </c>
      <c r="H25" s="142" t="s">
        <v>55</v>
      </c>
      <c r="L25" s="189" t="s">
        <v>176</v>
      </c>
      <c r="M25" s="193" t="s">
        <v>13</v>
      </c>
      <c r="U25" s="113">
        <v>24</v>
      </c>
      <c r="X25" s="28">
        <v>3</v>
      </c>
      <c r="Y25" s="7">
        <v>2800</v>
      </c>
      <c r="Z25" s="11">
        <f>IF(X25=Sheet2!H22,Y25,0)</f>
        <v>0</v>
      </c>
      <c r="AA25" s="113"/>
      <c r="AB25" s="113"/>
      <c r="AC25" s="113"/>
      <c r="AD25" s="113"/>
    </row>
    <row r="26" spans="5:32" ht="22.5">
      <c r="G26" s="42" t="s">
        <v>58</v>
      </c>
      <c r="H26" s="142">
        <v>0</v>
      </c>
      <c r="U26" s="113">
        <v>25</v>
      </c>
      <c r="X26" s="44">
        <v>4</v>
      </c>
      <c r="Y26" s="45">
        <v>3000</v>
      </c>
      <c r="Z26" s="4">
        <f>IF(X26=Sheet2!H22,Y26,0)</f>
        <v>0</v>
      </c>
      <c r="AA26" s="113"/>
      <c r="AB26" s="113"/>
      <c r="AC26" s="113"/>
      <c r="AD26" s="113"/>
    </row>
    <row r="27" spans="5:32" ht="22.5">
      <c r="G27" s="42" t="s">
        <v>60</v>
      </c>
      <c r="H27" s="142">
        <v>0</v>
      </c>
      <c r="U27" s="113">
        <v>26</v>
      </c>
      <c r="X27" s="28">
        <v>5</v>
      </c>
      <c r="Y27" s="7">
        <v>3200</v>
      </c>
      <c r="Z27" s="11">
        <f>IF(X27=Sheet2!H22,Y27,0)</f>
        <v>3200</v>
      </c>
      <c r="AA27" s="113"/>
      <c r="AB27" s="113"/>
      <c r="AC27" s="113"/>
      <c r="AD27" s="113"/>
    </row>
    <row r="28" spans="5:32" ht="23.25" thickBot="1">
      <c r="G28" s="43" t="s">
        <v>61</v>
      </c>
      <c r="H28" s="141">
        <v>0</v>
      </c>
      <c r="U28" s="113">
        <v>27</v>
      </c>
      <c r="X28" s="44">
        <v>6</v>
      </c>
      <c r="Y28" s="45">
        <v>3400</v>
      </c>
      <c r="Z28" s="4">
        <f>IF(X28=Sheet2!H22,Y28,0)</f>
        <v>0</v>
      </c>
      <c r="AA28" s="113"/>
      <c r="AB28" s="113"/>
      <c r="AC28" s="113"/>
      <c r="AD28" s="113"/>
    </row>
    <row r="29" spans="5:32" ht="23.25" thickBot="1">
      <c r="U29" s="113">
        <v>28</v>
      </c>
      <c r="X29" s="28">
        <v>7</v>
      </c>
      <c r="Y29" s="7">
        <v>3600</v>
      </c>
      <c r="Z29" s="11">
        <f>IF(X29=Sheet2!H22,Y29,0)</f>
        <v>0</v>
      </c>
      <c r="AA29" s="113"/>
      <c r="AB29" s="113"/>
      <c r="AC29" s="113"/>
      <c r="AD29" s="113"/>
      <c r="AF29" s="143"/>
    </row>
    <row r="30" spans="5:32" ht="22.5">
      <c r="G30" s="49"/>
      <c r="H30" s="49"/>
      <c r="I30" s="49"/>
      <c r="U30" s="113">
        <v>29</v>
      </c>
      <c r="X30" s="44">
        <v>8</v>
      </c>
      <c r="Y30" s="45">
        <v>3800</v>
      </c>
      <c r="Z30" s="4">
        <f>IF(X30=Sheet2!H22,Y30,0)</f>
        <v>0</v>
      </c>
      <c r="AA30" s="113"/>
      <c r="AB30" s="113"/>
      <c r="AC30" s="113"/>
      <c r="AD30" s="113"/>
    </row>
    <row r="31" spans="5:32" ht="22.5">
      <c r="G31" s="447" t="s">
        <v>67</v>
      </c>
      <c r="H31" s="447"/>
      <c r="J31" s="229" t="e">
        <f>ROUND(Sheet2!K33,0)</f>
        <v>#DIV/0!</v>
      </c>
      <c r="K31" s="234" t="e">
        <f>('ورود اطلاعات'!F9*100)/Sheet2!I36</f>
        <v>#DIV/0!</v>
      </c>
      <c r="U31" s="113">
        <v>30</v>
      </c>
      <c r="X31" s="28">
        <v>9</v>
      </c>
      <c r="Y31" s="7">
        <v>4000</v>
      </c>
      <c r="Z31" s="11">
        <f>IF(X31=Sheet2!H22,Y31,0)</f>
        <v>0</v>
      </c>
      <c r="AA31" s="113"/>
      <c r="AB31" s="113"/>
      <c r="AC31" s="113"/>
      <c r="AD31" s="113"/>
      <c r="AF31" s="144"/>
    </row>
    <row r="32" spans="5:32" ht="22.5">
      <c r="G32" s="447" t="s">
        <v>68</v>
      </c>
      <c r="H32" s="447"/>
      <c r="J32" s="229" t="e">
        <f>ROUND(Sheet2!K34,0)</f>
        <v>#DIV/0!</v>
      </c>
      <c r="K32" s="234" t="e">
        <f>('ورود اطلاعات'!F10*100)/Sheet2!I37</f>
        <v>#DIV/0!</v>
      </c>
      <c r="X32" s="44">
        <v>10</v>
      </c>
      <c r="Y32" s="45">
        <v>4200</v>
      </c>
      <c r="Z32" s="4">
        <f>IF(X32=Sheet2!H22,Y32,0)</f>
        <v>0</v>
      </c>
      <c r="AA32" s="113"/>
      <c r="AB32" s="113"/>
      <c r="AC32" s="113"/>
      <c r="AD32" s="113"/>
    </row>
    <row r="33" spans="7:43" ht="22.5">
      <c r="G33" s="447" t="s">
        <v>119</v>
      </c>
      <c r="H33" s="447"/>
      <c r="J33" s="229" t="e">
        <f>ROUND(Sheet2!K31,0)</f>
        <v>#DIV/0!</v>
      </c>
      <c r="K33" s="234" t="e">
        <f>('ورود اطلاعات'!F11*100)/Sheet2!AQ38</f>
        <v>#DIV/0!</v>
      </c>
      <c r="X33" s="28">
        <v>11</v>
      </c>
      <c r="Y33" s="7">
        <v>4400</v>
      </c>
      <c r="Z33" s="11">
        <f>IF(X33=Sheet2!H22,Y33,0)</f>
        <v>0</v>
      </c>
      <c r="AA33" s="113"/>
      <c r="AB33" s="113"/>
      <c r="AC33" s="113"/>
      <c r="AD33" s="113"/>
    </row>
    <row r="34" spans="7:43" ht="22.5">
      <c r="G34" s="447" t="s">
        <v>124</v>
      </c>
      <c r="H34" s="447"/>
      <c r="J34" s="229" t="e">
        <f>ROUND(Sheet2!K35,0)</f>
        <v>#DIV/0!</v>
      </c>
      <c r="K34" s="234" t="e">
        <f>('ورود اطلاعات'!F12*100)/Sheet2!AQ38</f>
        <v>#DIV/0!</v>
      </c>
      <c r="X34" s="44">
        <v>12</v>
      </c>
      <c r="Y34" s="45">
        <v>4600</v>
      </c>
      <c r="Z34" s="4">
        <f>IF(X34=Sheet2!H22,Y34,0)</f>
        <v>0</v>
      </c>
      <c r="AA34" s="113"/>
      <c r="AB34" s="113"/>
      <c r="AC34" s="113"/>
      <c r="AD34" s="113"/>
    </row>
    <row r="35" spans="7:43" ht="22.5">
      <c r="G35" s="447" t="s">
        <v>213</v>
      </c>
      <c r="H35" s="447"/>
      <c r="J35" s="229" t="e">
        <f>ROUND(Sheet2!K32,0)</f>
        <v>#DIV/0!</v>
      </c>
      <c r="K35" s="234" t="e">
        <f>('جدول محاسبات'!G21*100)/'جدول محاسبات'!G4</f>
        <v>#DIV/0!</v>
      </c>
      <c r="X35" s="28">
        <v>13</v>
      </c>
      <c r="Y35" s="7">
        <v>4800</v>
      </c>
      <c r="Z35" s="11">
        <f>IF(X35=Sheet2!H22,Y35,0)</f>
        <v>0</v>
      </c>
      <c r="AA35" s="113"/>
      <c r="AB35" s="113"/>
      <c r="AC35" s="113"/>
      <c r="AD35" s="113"/>
    </row>
    <row r="36" spans="7:43" ht="22.5">
      <c r="G36" s="447" t="s">
        <v>120</v>
      </c>
      <c r="H36" s="447"/>
      <c r="I36" s="78">
        <f>SUM('جدول محاسبات'!G4,'جدول محاسبات'!G5,'جدول محاسبات'!G6,'جدول محاسبات'!G9,'جدول محاسبات'!G14,'جدول محاسبات'!G16,'جدول محاسبات'!G17,'جدول محاسبات'!G18,'جدول محاسبات'!G23,'جدول محاسبات'!G24)</f>
        <v>0</v>
      </c>
      <c r="X36" s="44">
        <v>14</v>
      </c>
      <c r="Y36" s="45">
        <v>5000</v>
      </c>
      <c r="Z36" s="4">
        <f>IF(X36=Sheet2!H22,Y36,0)</f>
        <v>0</v>
      </c>
      <c r="AA36" s="113"/>
      <c r="AB36" s="113"/>
      <c r="AC36" s="113"/>
      <c r="AD36" s="113"/>
      <c r="AP36" s="145"/>
      <c r="AQ36" s="146"/>
    </row>
    <row r="37" spans="7:43" ht="23.25" thickBot="1">
      <c r="G37" s="447" t="s">
        <v>216</v>
      </c>
      <c r="H37" s="447"/>
      <c r="I37" s="78">
        <f>SUM('جدول محاسبات'!G7,'جدول محاسبات'!G9,'جدول محاسبات'!G14,'جدول محاسبات'!G16,'جدول محاسبات'!G17,'جدول محاسبات'!G18,'جدول محاسبات'!G23,'جدول محاسبات'!G24)</f>
        <v>0</v>
      </c>
      <c r="X37" s="28">
        <v>15</v>
      </c>
      <c r="Y37" s="7">
        <v>5200</v>
      </c>
      <c r="Z37" s="11">
        <f>IF(X37=Sheet2!H22,Y37,0)</f>
        <v>0</v>
      </c>
      <c r="AA37" s="113"/>
      <c r="AB37" s="113"/>
      <c r="AC37" s="113"/>
      <c r="AD37" s="113"/>
    </row>
    <row r="38" spans="7:43" ht="23.25" thickBot="1">
      <c r="G38" s="447" t="s">
        <v>121</v>
      </c>
      <c r="H38" s="447"/>
      <c r="I38" s="78">
        <f>ROUND('جدول محاسبات'!F23*Sheet2!H42%,0)</f>
        <v>0</v>
      </c>
      <c r="X38" s="46">
        <v>16</v>
      </c>
      <c r="Y38" s="47">
        <v>5400</v>
      </c>
      <c r="Z38" s="48">
        <f>IF(X38=Sheet2!H22,Y38,0)</f>
        <v>0</v>
      </c>
      <c r="AA38" s="113"/>
      <c r="AB38" s="113"/>
      <c r="AC38" s="113"/>
      <c r="AD38" s="113"/>
      <c r="AI38" s="147" t="s">
        <v>55</v>
      </c>
      <c r="AJ38" s="148" t="s">
        <v>56</v>
      </c>
      <c r="AL38" s="149" t="s">
        <v>15</v>
      </c>
      <c r="AN38" s="149" t="s">
        <v>65</v>
      </c>
      <c r="AP38" s="150" t="s">
        <v>66</v>
      </c>
      <c r="AQ38" s="151">
        <f>SUM('جدول محاسبات'!G7,'جدول محاسبات'!G24,'جدول محاسبات'!G23)</f>
        <v>0</v>
      </c>
    </row>
    <row r="39" spans="7:43" ht="22.5">
      <c r="G39" s="447" t="s">
        <v>122</v>
      </c>
      <c r="H39" s="447"/>
      <c r="I39" s="78">
        <f>ROUND('جدول محاسبات'!F24*Sheet2!H42%,0)</f>
        <v>0</v>
      </c>
      <c r="X39" s="25" t="s">
        <v>41</v>
      </c>
      <c r="Y39" s="9">
        <v>0</v>
      </c>
      <c r="Z39" s="10">
        <f>IF(X39=Sheet2!H23,0,0)</f>
        <v>0</v>
      </c>
      <c r="AA39" s="454" t="s">
        <v>51</v>
      </c>
      <c r="AB39" s="455"/>
      <c r="AC39" s="455"/>
      <c r="AD39" s="456"/>
      <c r="AF39" s="33">
        <v>1</v>
      </c>
      <c r="AG39" s="34">
        <f>IF(AND(AND(X39=Sheet2!H23,Sheet2!H26&gt;1,Sheet2!H28&gt;119,Sheet2!H15&gt;69,Sheet2!H16&gt;69),((Sheet2!H15+Sheet2!H16)/2)&gt;=75),1,0)</f>
        <v>0</v>
      </c>
      <c r="AI39" s="152">
        <f>IF(AG39=AF39,AD44*30%,0)</f>
        <v>0</v>
      </c>
      <c r="AJ39" s="153">
        <f>IF(AG39=AF39,AD44*20%,0)</f>
        <v>0</v>
      </c>
      <c r="AL39" s="154">
        <f>IF(AG39=AF39,'ورود اطلاعات'!C9*10%,0)</f>
        <v>0</v>
      </c>
      <c r="AN39" s="154">
        <f>IF(AG39=AF39,AA11*10%,0)</f>
        <v>0</v>
      </c>
    </row>
    <row r="40" spans="7:43" ht="22.5">
      <c r="X40" s="26" t="s">
        <v>42</v>
      </c>
      <c r="Y40" s="7">
        <v>250</v>
      </c>
      <c r="Z40" s="11">
        <f>IF(X40=Sheet2!H23,Y40,0)</f>
        <v>0</v>
      </c>
      <c r="AA40" s="26">
        <f>AA44</f>
        <v>3520</v>
      </c>
      <c r="AB40" s="7">
        <f>IF(X40=Sheet2!H23,AA41,0)</f>
        <v>0</v>
      </c>
      <c r="AC40" s="15">
        <v>0.15</v>
      </c>
      <c r="AD40" s="16">
        <f>AC40*AB40</f>
        <v>0</v>
      </c>
      <c r="AF40" s="28">
        <v>2</v>
      </c>
      <c r="AG40" s="35">
        <f>IF(X40=Sheet2!H23,AF40,0)</f>
        <v>0</v>
      </c>
      <c r="AI40" s="155">
        <f>IF(AG40=AF40,AD44*25%,0)</f>
        <v>0</v>
      </c>
      <c r="AJ40" s="156">
        <f>IF(AG40=AF40,AD44*15%,0)</f>
        <v>0</v>
      </c>
      <c r="AL40" s="157">
        <f>IF(AG40=AF40,'ورود اطلاعات'!C9*15%,0)</f>
        <v>0</v>
      </c>
      <c r="AN40" s="154">
        <f>IF(AG40=AF40,AA11*15%,0)</f>
        <v>0</v>
      </c>
    </row>
    <row r="41" spans="7:43" ht="24.75" thickBot="1">
      <c r="G41" s="465" t="s">
        <v>134</v>
      </c>
      <c r="H41" s="464"/>
      <c r="M41" s="448" t="s">
        <v>233</v>
      </c>
      <c r="N41" s="449"/>
      <c r="X41" s="26" t="s">
        <v>43</v>
      </c>
      <c r="Y41" s="7">
        <v>600</v>
      </c>
      <c r="Z41" s="11">
        <f>IF(X41=Sheet2!H23,Y41,0)</f>
        <v>0</v>
      </c>
      <c r="AA41" s="26">
        <f>AA44</f>
        <v>3520</v>
      </c>
      <c r="AB41" s="7">
        <f>IF(X41=Sheet2!H23,AA41,0)</f>
        <v>0</v>
      </c>
      <c r="AC41" s="15">
        <v>0.25</v>
      </c>
      <c r="AD41" s="16">
        <f>AC41*AB41</f>
        <v>0</v>
      </c>
      <c r="AF41" s="28">
        <v>3</v>
      </c>
      <c r="AG41" s="35">
        <f>IF(X41=Sheet2!H23,AF41,0)</f>
        <v>0</v>
      </c>
      <c r="AI41" s="155">
        <f>IF(AG41=AF41,AD44*17%,0)</f>
        <v>0</v>
      </c>
      <c r="AJ41" s="156">
        <f>IF(AG41=AF41,AD44*10%,0)</f>
        <v>0</v>
      </c>
      <c r="AL41" s="157">
        <f>IF(AG41=AF41,'ورود اطلاعات'!C9*25%,0)</f>
        <v>0</v>
      </c>
      <c r="AN41" s="154">
        <f>IF(AG41=AF41,AA11*25%,0)</f>
        <v>0</v>
      </c>
    </row>
    <row r="42" spans="7:43" ht="24.75" thickBot="1">
      <c r="G42" s="80" t="s">
        <v>133</v>
      </c>
      <c r="H42" s="158">
        <v>0</v>
      </c>
      <c r="M42" s="199" t="s">
        <v>0</v>
      </c>
      <c r="N42" s="200" t="s">
        <v>1</v>
      </c>
      <c r="X42" s="26" t="s">
        <v>44</v>
      </c>
      <c r="Y42" s="7">
        <v>1050</v>
      </c>
      <c r="Z42" s="11">
        <f>IF(X42=Sheet2!H23,Y42,0)</f>
        <v>0</v>
      </c>
      <c r="AA42" s="26">
        <f>AA44</f>
        <v>3520</v>
      </c>
      <c r="AB42" s="7">
        <f>IF(X42=Sheet2!H23,AA42,0)</f>
        <v>0</v>
      </c>
      <c r="AC42" s="15">
        <v>0.35</v>
      </c>
      <c r="AD42" s="16">
        <f>AC42*AB42</f>
        <v>0</v>
      </c>
      <c r="AF42" s="28">
        <v>4</v>
      </c>
      <c r="AG42" s="35">
        <f>IF(X42=Sheet2!H23,AF42,0)</f>
        <v>0</v>
      </c>
      <c r="AI42" s="155">
        <f>IF(AG42=AF42,AD44*8%,0)</f>
        <v>0</v>
      </c>
      <c r="AJ42" s="156">
        <f>IF(AG42=AF42,AD44*5%,0)</f>
        <v>0</v>
      </c>
      <c r="AL42" s="157">
        <f>IF(AG42=AF42,'ورود اطلاعات'!C9*35%,0)</f>
        <v>0</v>
      </c>
      <c r="AN42" s="154">
        <f>IF(AG42=AF42,AA11*35%,0)</f>
        <v>0</v>
      </c>
      <c r="AP42" s="150" t="s">
        <v>69</v>
      </c>
      <c r="AQ42" s="151">
        <f>SUM(Sheet2!H58,Sheet2!H73,Sheet2!H74)</f>
        <v>0</v>
      </c>
    </row>
    <row r="43" spans="7:43" ht="24.75" thickBot="1">
      <c r="M43" s="213">
        <f>'جدول محاسبات'!F4</f>
        <v>0</v>
      </c>
      <c r="N43" s="214">
        <f>M43*Sheet2!H51</f>
        <v>0</v>
      </c>
      <c r="X43" s="12" t="s">
        <v>45</v>
      </c>
      <c r="Y43" s="13">
        <v>1600</v>
      </c>
      <c r="Z43" s="14">
        <f>IF(X43=Sheet2!H23,Y43,0)</f>
        <v>0</v>
      </c>
      <c r="AA43" s="26">
        <f>AA44</f>
        <v>3520</v>
      </c>
      <c r="AB43" s="8">
        <f>IF(X43=Sheet2!H23,AA43,0)</f>
        <v>0</v>
      </c>
      <c r="AC43" s="17">
        <v>0.5</v>
      </c>
      <c r="AD43" s="18">
        <f>AC43*AB43</f>
        <v>0</v>
      </c>
      <c r="AF43" s="36">
        <v>5</v>
      </c>
      <c r="AG43" s="37">
        <f>IF(X43=Sheet2!H23,AF43,0)</f>
        <v>0</v>
      </c>
      <c r="AI43" s="159">
        <f>SUM(AI39:AI42)</f>
        <v>0</v>
      </c>
      <c r="AJ43" s="160">
        <f>SUM(AJ39:AJ42)</f>
        <v>0</v>
      </c>
      <c r="AL43" s="157">
        <f>IF(AG43=AF43,'ورود اطلاعات'!C9*50%,0)</f>
        <v>0</v>
      </c>
      <c r="AN43" s="154">
        <f>IF(AG43=AF43,AA11*50%,0)</f>
        <v>0</v>
      </c>
    </row>
    <row r="44" spans="7:43" ht="24.75" thickBot="1">
      <c r="G44" s="464" t="s">
        <v>118</v>
      </c>
      <c r="H44" s="464"/>
      <c r="M44" s="215">
        <f>'جدول محاسبات'!F5</f>
        <v>0</v>
      </c>
      <c r="N44" s="216">
        <f>M44*Sheet2!H51</f>
        <v>0</v>
      </c>
      <c r="X44" s="452" t="s">
        <v>50</v>
      </c>
      <c r="Y44" s="453"/>
      <c r="Z44" s="27">
        <f>SUM(Z23:Z43)</f>
        <v>3200</v>
      </c>
      <c r="AA44" s="161">
        <f>Z44+(Z44*10%)</f>
        <v>3520</v>
      </c>
      <c r="AB44" s="457" t="s">
        <v>52</v>
      </c>
      <c r="AC44" s="458"/>
      <c r="AD44" s="19">
        <f>SUM(AD40:AD43,AA44)</f>
        <v>3520</v>
      </c>
      <c r="AF44" s="38" t="s">
        <v>40</v>
      </c>
      <c r="AG44" s="39">
        <f>SUM(AG39:AG43)</f>
        <v>0</v>
      </c>
      <c r="AI44" s="40" t="s">
        <v>64</v>
      </c>
      <c r="AJ44" s="162">
        <f>IF(Sheet2!H25=Sheet2!Q2,AI43,AJ43)</f>
        <v>0</v>
      </c>
      <c r="AL44" s="163">
        <f>SUM(AL39:AL43)</f>
        <v>0</v>
      </c>
      <c r="AN44" s="163">
        <f>IF(AG44&gt;0,SUM(AN39:AN43)+(AC13*50%),0)</f>
        <v>0</v>
      </c>
      <c r="AP44" s="150" t="s">
        <v>70</v>
      </c>
      <c r="AQ44" s="151">
        <f>SUM(Sheet2!N46,Sheet2!N62,Sheet2!N63)</f>
        <v>0</v>
      </c>
    </row>
    <row r="45" spans="7:43" ht="24.75" thickBot="1">
      <c r="G45" s="80" t="s">
        <v>117</v>
      </c>
      <c r="H45" s="87" t="s">
        <v>13</v>
      </c>
      <c r="M45" s="217">
        <f>IF('ورود اطلاعات (2)'!K12&gt;Sheet2!M43*0.75,M43*0.75,'ورود اطلاعات (2)'!K12)</f>
        <v>0</v>
      </c>
      <c r="N45" s="218">
        <f>M45*Sheet2!H51</f>
        <v>0</v>
      </c>
    </row>
    <row r="46" spans="7:43" ht="24">
      <c r="M46" s="219">
        <f>SUM(M43:M45)</f>
        <v>0</v>
      </c>
      <c r="N46" s="220">
        <f>SUM(N43:N45)</f>
        <v>0</v>
      </c>
    </row>
    <row r="47" spans="7:43" ht="24">
      <c r="M47" s="211"/>
      <c r="N47" s="212">
        <f>'جدول محاسبات'!G8</f>
        <v>0</v>
      </c>
    </row>
    <row r="48" spans="7:43" ht="24">
      <c r="M48" s="215">
        <f>'جدول محاسبات'!F9</f>
        <v>0</v>
      </c>
      <c r="N48" s="216">
        <f>M48*Sheet2!H51</f>
        <v>0</v>
      </c>
    </row>
    <row r="49" spans="7:16" ht="24">
      <c r="M49" s="221"/>
      <c r="N49" s="222">
        <f>IF('ورود اطلاعات'!F9=0,0,SUM(N43,N44,N45,N48,N53,N55,N56,N57,N62,N63)*Sheet2!K31%)</f>
        <v>0</v>
      </c>
    </row>
    <row r="50" spans="7:16" ht="24">
      <c r="G50" s="197" t="s">
        <v>251</v>
      </c>
      <c r="H50" s="198">
        <v>4024</v>
      </c>
      <c r="M50" s="215"/>
      <c r="N50" s="216">
        <f>IF('ورود اطلاعات'!F10=0,0,SUM(N46,N48,N53,N55,N56,N57,N62,N63)*Sheet2!K32%)</f>
        <v>0</v>
      </c>
    </row>
    <row r="51" spans="7:16" ht="24">
      <c r="G51" s="197" t="s">
        <v>274</v>
      </c>
      <c r="H51" s="198">
        <v>4829</v>
      </c>
      <c r="M51" s="223"/>
      <c r="N51" s="224">
        <f>IF('ورود اطلاعات'!F11=0,0,Sheet2!AQ44*Sheet2!K33%)</f>
        <v>0</v>
      </c>
    </row>
    <row r="52" spans="7:16" ht="24.75" thickBot="1">
      <c r="M52" s="215"/>
      <c r="N52" s="216">
        <f>IF(N46=0,0,N46*Sheet2!K34%)</f>
        <v>0</v>
      </c>
    </row>
    <row r="53" spans="7:16" ht="24">
      <c r="G53" s="470" t="s">
        <v>163</v>
      </c>
      <c r="H53" s="471"/>
      <c r="M53" s="223">
        <f>'جدول محاسبات'!F14</f>
        <v>0</v>
      </c>
      <c r="N53" s="224">
        <f>M53*Sheet2!H51</f>
        <v>0</v>
      </c>
    </row>
    <row r="54" spans="7:16" ht="24.75" thickBot="1">
      <c r="G54" s="81" t="s">
        <v>0</v>
      </c>
      <c r="H54" s="82" t="s">
        <v>1</v>
      </c>
      <c r="M54" s="215"/>
      <c r="N54" s="216">
        <f>IF('ورود اطلاعات'!C21="بلی",P54*25%,0)</f>
        <v>0</v>
      </c>
      <c r="O54" s="113">
        <v>29658000</v>
      </c>
      <c r="P54" s="113">
        <f>O54*1.2</f>
        <v>35589600</v>
      </c>
    </row>
    <row r="55" spans="7:16" ht="24">
      <c r="G55" s="72">
        <f>'جدول محاسبات'!F4</f>
        <v>0</v>
      </c>
      <c r="H55" s="73">
        <f>G55*Sheet2!H51</f>
        <v>0</v>
      </c>
      <c r="M55" s="223">
        <f>'جدول محاسبات'!F16</f>
        <v>0</v>
      </c>
      <c r="N55" s="224">
        <f>M55*Sheet2!H51</f>
        <v>0</v>
      </c>
    </row>
    <row r="56" spans="7:16" ht="24">
      <c r="G56" s="58">
        <f>'جدول محاسبات'!F5</f>
        <v>0</v>
      </c>
      <c r="H56" s="59">
        <f>G56*Sheet2!H51</f>
        <v>0</v>
      </c>
      <c r="M56" s="215">
        <f>'جدول محاسبات'!F17</f>
        <v>0</v>
      </c>
      <c r="N56" s="216">
        <f>M56*Sheet2!H51</f>
        <v>0</v>
      </c>
    </row>
    <row r="57" spans="7:16" ht="24">
      <c r="G57" s="75">
        <f>'ورود اطلاعات (2)'!K12</f>
        <v>0</v>
      </c>
      <c r="H57" s="59">
        <f>G57*Sheet2!H51</f>
        <v>0</v>
      </c>
      <c r="M57" s="223">
        <f>'جدول محاسبات'!F18</f>
        <v>0</v>
      </c>
      <c r="N57" s="224">
        <f>M57*Sheet2!H51</f>
        <v>0</v>
      </c>
    </row>
    <row r="58" spans="7:16" ht="24">
      <c r="G58" s="84">
        <f>SUM(G55:G57)</f>
        <v>0</v>
      </c>
      <c r="H58" s="83">
        <f>SUM(H55:H57)</f>
        <v>0</v>
      </c>
      <c r="L58" s="113">
        <v>2430</v>
      </c>
      <c r="M58" s="243">
        <f>'جدول محاسبات'!F19</f>
        <v>0</v>
      </c>
      <c r="N58" s="216">
        <f>M58*3048</f>
        <v>0</v>
      </c>
    </row>
    <row r="59" spans="7:16" ht="24">
      <c r="G59" s="75"/>
      <c r="H59" s="74">
        <f>'جدول محاسبات'!G8</f>
        <v>0</v>
      </c>
      <c r="K59" s="113">
        <f>Sheet2!O84*Sheet2!L59</f>
        <v>0</v>
      </c>
      <c r="L59" s="113">
        <v>945</v>
      </c>
      <c r="M59" s="223">
        <f>'جدول محاسبات'!F20</f>
        <v>0</v>
      </c>
      <c r="N59" s="224">
        <f>M59*3048</f>
        <v>0</v>
      </c>
    </row>
    <row r="60" spans="7:16" ht="24">
      <c r="G60" s="75">
        <f>'جدول محاسبات'!F9</f>
        <v>0</v>
      </c>
      <c r="H60" s="74">
        <f>G60*Sheet2!H51</f>
        <v>0</v>
      </c>
      <c r="M60" s="215"/>
      <c r="N60" s="216">
        <f>IF(N43=0,0,N43*Sheet2!K35%)</f>
        <v>0</v>
      </c>
    </row>
    <row r="61" spans="7:16" ht="24">
      <c r="G61" s="75"/>
      <c r="H61" s="74">
        <f>IF('ورود اطلاعات'!F9=0,0,SUM(H55,H56,H57,H60,H64,H66,H67,H68,H73,H74)*Sheet2!K31%)</f>
        <v>0</v>
      </c>
      <c r="M61" s="223"/>
      <c r="N61" s="224">
        <f>'جدول محاسبات'!G22</f>
        <v>0</v>
      </c>
    </row>
    <row r="62" spans="7:16" ht="24">
      <c r="G62" s="75"/>
      <c r="H62" s="74">
        <f>IF('ورود اطلاعات'!F11=0,0,Sheet2!AQ42*Sheet2!K33%)</f>
        <v>0</v>
      </c>
      <c r="M62" s="215">
        <f>'جدول محاسبات'!F23</f>
        <v>0</v>
      </c>
      <c r="N62" s="216">
        <f>M62*Sheet2!H51</f>
        <v>0</v>
      </c>
    </row>
    <row r="63" spans="7:16" ht="24">
      <c r="G63" s="75"/>
      <c r="H63" s="74">
        <f>IF('ورود اطلاعات'!F12=0,0,Sheet2!AQ42*Sheet2!K34%)</f>
        <v>0</v>
      </c>
      <c r="M63" s="223">
        <f>'جدول محاسبات'!F24</f>
        <v>0</v>
      </c>
      <c r="N63" s="224">
        <f>M63*Sheet2!H51</f>
        <v>0</v>
      </c>
    </row>
    <row r="64" spans="7:16" ht="24">
      <c r="G64" s="75">
        <f>'جدول محاسبات'!F14</f>
        <v>0</v>
      </c>
      <c r="H64" s="74">
        <f>G64*Sheet2!H51</f>
        <v>0</v>
      </c>
      <c r="M64" s="215"/>
      <c r="N64" s="216">
        <v>0</v>
      </c>
    </row>
    <row r="65" spans="7:14" ht="24">
      <c r="G65" s="75"/>
      <c r="H65" s="74">
        <f>IF('ورود اطلاعات'!C21="بلی",'ورود اطلاعات (2)'!K48/4,0)</f>
        <v>0</v>
      </c>
      <c r="M65" s="223"/>
      <c r="N65" s="224">
        <f>IF(Sheet2!H2&lt;56000000,56000000-Sheet2!H2,0)</f>
        <v>56000000</v>
      </c>
    </row>
    <row r="66" spans="7:14" ht="24">
      <c r="G66" s="75">
        <f>'جدول محاسبات'!F16</f>
        <v>0</v>
      </c>
      <c r="H66" s="74">
        <f>G66*Sheet2!H51</f>
        <v>0</v>
      </c>
      <c r="M66" s="215"/>
      <c r="N66" s="210">
        <v>0</v>
      </c>
    </row>
    <row r="67" spans="7:14" ht="24">
      <c r="G67" s="75">
        <f>'جدول محاسبات'!F17</f>
        <v>0</v>
      </c>
      <c r="H67" s="74">
        <f>G67*Sheet2!H51</f>
        <v>0</v>
      </c>
      <c r="M67" s="225">
        <f>SUM(M46:M66)</f>
        <v>0</v>
      </c>
      <c r="N67" s="226">
        <f>SUM(N46:N66)</f>
        <v>56000000</v>
      </c>
    </row>
    <row r="68" spans="7:14" ht="21">
      <c r="G68" s="75">
        <f>'جدول محاسبات'!F18</f>
        <v>0</v>
      </c>
      <c r="H68" s="74">
        <f>G68*Sheet2!H51</f>
        <v>0</v>
      </c>
    </row>
    <row r="69" spans="7:14" ht="21">
      <c r="G69" s="75">
        <f>'جدول محاسبات'!F19</f>
        <v>0</v>
      </c>
      <c r="H69" s="74">
        <f>G69*2438</f>
        <v>0</v>
      </c>
    </row>
    <row r="70" spans="7:14" ht="21">
      <c r="G70" s="75">
        <f>'جدول محاسبات'!F20</f>
        <v>0</v>
      </c>
      <c r="H70" s="74">
        <f>G70*2438</f>
        <v>0</v>
      </c>
    </row>
    <row r="71" spans="7:14" ht="21">
      <c r="G71" s="75"/>
      <c r="H71" s="74">
        <f>IF('ورود اطلاعات'!F13=0,0,H55*Sheet2!K35%)</f>
        <v>0</v>
      </c>
    </row>
    <row r="72" spans="7:14" ht="21">
      <c r="G72" s="75"/>
      <c r="H72" s="74">
        <f>'ورود اطلاعات'!F14</f>
        <v>0</v>
      </c>
    </row>
    <row r="73" spans="7:14" ht="21">
      <c r="G73" s="75">
        <f>'جدول محاسبات'!F23</f>
        <v>0</v>
      </c>
      <c r="H73" s="74">
        <f>G73*Sheet2!H51</f>
        <v>0</v>
      </c>
    </row>
    <row r="74" spans="7:14" ht="21">
      <c r="G74" s="77">
        <f>'جدول محاسبات'!F24</f>
        <v>0</v>
      </c>
      <c r="H74" s="76">
        <f>G74*Sheet2!H51</f>
        <v>0</v>
      </c>
    </row>
    <row r="75" spans="7:14" ht="21.75" thickBot="1">
      <c r="G75" s="77"/>
      <c r="H75" s="74">
        <f>IF(SUM(H58,'جدول محاسبات'!G8,H60:H74)&lt;35000000,(35000000-SUM(H58,'جدول محاسبات'!G8,H60:H74)),0)</f>
        <v>35000000</v>
      </c>
    </row>
    <row r="76" spans="7:14" ht="21.75" thickBot="1">
      <c r="G76" s="86">
        <f>SUM(G58:G74)</f>
        <v>0</v>
      </c>
      <c r="H76" s="85">
        <f>SUM(H58:H75)</f>
        <v>35000000</v>
      </c>
    </row>
    <row r="77" spans="7:14" ht="20.25" thickBot="1">
      <c r="G77" s="117"/>
      <c r="H77" s="117"/>
    </row>
    <row r="78" spans="7:14" ht="21.75" thickBot="1">
      <c r="G78" s="111"/>
      <c r="H78" s="111"/>
    </row>
    <row r="79" spans="7:14">
      <c r="G79" s="110"/>
      <c r="H79" s="110"/>
    </row>
    <row r="80" spans="7:14">
      <c r="G80" s="108"/>
      <c r="H80" s="108"/>
    </row>
    <row r="81" spans="7:15">
      <c r="G81" s="108"/>
      <c r="H81" s="108"/>
    </row>
    <row r="82" spans="7:15" ht="18.75">
      <c r="G82" s="108"/>
      <c r="H82" s="108"/>
      <c r="K82" s="79"/>
      <c r="L82" s="79"/>
      <c r="M82" s="79"/>
      <c r="N82" s="309" t="s">
        <v>241</v>
      </c>
      <c r="O82" s="309"/>
    </row>
    <row r="83" spans="7:15" ht="24">
      <c r="G83" s="108"/>
      <c r="H83" s="108"/>
      <c r="K83" s="189" t="s">
        <v>185</v>
      </c>
      <c r="L83" s="192">
        <v>0</v>
      </c>
      <c r="M83" s="79"/>
      <c r="N83" s="189" t="s">
        <v>239</v>
      </c>
      <c r="O83" s="193" t="s">
        <v>13</v>
      </c>
    </row>
    <row r="84" spans="7:15" ht="24.75" thickBot="1">
      <c r="G84" s="109"/>
      <c r="H84" s="109"/>
      <c r="K84" s="189" t="s">
        <v>186</v>
      </c>
      <c r="L84" s="192">
        <v>0</v>
      </c>
      <c r="M84" s="79"/>
      <c r="N84" s="189" t="s">
        <v>240</v>
      </c>
      <c r="O84" s="193">
        <v>0</v>
      </c>
    </row>
    <row r="85" spans="7:15" ht="18">
      <c r="K85" s="79"/>
      <c r="L85" s="79"/>
      <c r="M85" s="79"/>
      <c r="N85" s="51"/>
      <c r="O85" s="51"/>
    </row>
    <row r="86" spans="7:15" ht="19.5">
      <c r="K86" s="79"/>
      <c r="L86" s="79"/>
      <c r="M86" s="79"/>
      <c r="N86" s="189" t="s">
        <v>169</v>
      </c>
      <c r="O86" s="194">
        <v>50</v>
      </c>
    </row>
    <row r="89" spans="7:15" ht="18.75">
      <c r="G89" s="208" t="s">
        <v>225</v>
      </c>
    </row>
    <row r="90" spans="7:15">
      <c r="G90" s="209" t="s">
        <v>226</v>
      </c>
    </row>
    <row r="91" spans="7:15" ht="191.25">
      <c r="G91" s="209" t="s">
        <v>227</v>
      </c>
    </row>
    <row r="92" spans="7:15" ht="140.25">
      <c r="G92" s="209" t="s">
        <v>228</v>
      </c>
    </row>
    <row r="93" spans="7:15" ht="140.25">
      <c r="G93" s="209" t="s">
        <v>229</v>
      </c>
    </row>
  </sheetData>
  <mergeCells count="26">
    <mergeCell ref="N82:O82"/>
    <mergeCell ref="G9:H9"/>
    <mergeCell ref="G41:H41"/>
    <mergeCell ref="G44:H44"/>
    <mergeCell ref="G14:H14"/>
    <mergeCell ref="G18:H19"/>
    <mergeCell ref="G21:H21"/>
    <mergeCell ref="G36:H36"/>
    <mergeCell ref="G38:H38"/>
    <mergeCell ref="G39:H39"/>
    <mergeCell ref="G34:H34"/>
    <mergeCell ref="G31:H31"/>
    <mergeCell ref="G53:H53"/>
    <mergeCell ref="G32:H32"/>
    <mergeCell ref="G33:H33"/>
    <mergeCell ref="G35:H35"/>
    <mergeCell ref="X44:Y44"/>
    <mergeCell ref="AA39:AD39"/>
    <mergeCell ref="AB44:AC44"/>
    <mergeCell ref="Y12:AB12"/>
    <mergeCell ref="Y13:AB13"/>
    <mergeCell ref="G37:H37"/>
    <mergeCell ref="L21:M21"/>
    <mergeCell ref="L24:M24"/>
    <mergeCell ref="M41:N41"/>
    <mergeCell ref="Y11:Z11"/>
  </mergeCells>
  <dataValidations count="14">
    <dataValidation type="whole" allowBlank="1" showInputMessage="1" showErrorMessage="1" errorTitle="توجه" error="از صفر (۰) تا صد (100)  عددی وارد نمایید" sqref="H15:H16" xr:uid="{00000000-0002-0000-0500-000000000000}">
      <formula1>0</formula1>
      <formula2>100</formula2>
    </dataValidation>
    <dataValidation type="list" allowBlank="1" showInputMessage="1" showErrorMessage="1" errorTitle="توجه" error="یکی از گزینه های زیر را تایپ (انتخاب) نموده و سپس کلید اینتر را بزنید_x000a__x000a_مقدماتی_x000a_پایه_x000a_ارشد_x000a_خبره_x000a_عالی_x000a_" sqref="H23" xr:uid="{00000000-0002-0000-0500-000001000000}">
      <formula1>$X$39:$X$43</formula1>
    </dataValidation>
    <dataValidation type="list" allowBlank="1" showInputMessage="1" showErrorMessage="1" errorTitle="توجه" error="عددی بین 4 تا 16 مطابق با آخرین حکم کارگزینی وارد نمایید" sqref="H22" xr:uid="{00000000-0002-0000-0500-000002000000}">
      <formula1>$X$23:$X$38</formula1>
    </dataValidation>
    <dataValidation type="list" allowBlank="1" showInputMessage="1" showErrorMessage="1" errorTitle="توجه" error="یکی از گزینه های زیر را تایپ (انتخاب) نموده و سپس کلید اینتر را بزنید_x000a__x000a_زیر دیپلم_x000a_دیپلم_x000a_فوق دیپلم_x000a_لیسانس_x000a_فوق لیسانس_x000a_دکتری_x000a_" sqref="H24" xr:uid="{00000000-0002-0000-0500-000003000000}">
      <formula1>$Y$5:$Y$10</formula1>
    </dataValidation>
    <dataValidation type="list" allowBlank="1" showInputMessage="1" showErrorMessage="1" errorTitle="توجه" error="از صفر (0) تا یازده (11) عددی وارد نمایید" sqref="H27" xr:uid="{00000000-0002-0000-0500-000004000000}">
      <formula1>$U$1:$U$12</formula1>
    </dataValidation>
    <dataValidation type="list" allowBlank="1" showInputMessage="1" showErrorMessage="1" errorTitle="توجه" error="از صفر (0) تا سی (30) عددی وارد نمایید" sqref="H26" xr:uid="{00000000-0002-0000-0500-000005000000}">
      <formula1>$U$1:$U$31</formula1>
    </dataValidation>
    <dataValidation type="list" allowBlank="1" showInputMessage="1" showErrorMessage="1" errorTitle="توجه" error="یکی از گزینه های زیر را تایپ (انتخاب) نمایید_x000a__x000a_ابتدایی_x000a_متوسطه_x000a_" sqref="H25" xr:uid="{00000000-0002-0000-0500-000006000000}">
      <formula1>$Q$2:$Q$3</formula1>
    </dataValidation>
    <dataValidation type="whole" allowBlank="1" showInputMessage="1" showErrorMessage="1" errorTitle="توجه" error="از صفر (۰) تا هزار (1000)  عددی وارد نمایید" sqref="H28" xr:uid="{00000000-0002-0000-0500-000007000000}">
      <formula1>0</formula1>
      <formula2>1000</formula2>
    </dataValidation>
    <dataValidation type="whole" allowBlank="1" showInputMessage="1" showErrorMessage="1" errorTitle="اخطار" error="عددی از یک تا پنجاه وارد نمایید" sqref="H42" xr:uid="{00000000-0002-0000-0500-000008000000}">
      <formula1>0</formula1>
      <formula2>50</formula2>
    </dataValidation>
    <dataValidation type="list" allowBlank="1" showInputMessage="1" showErrorMessage="1" errorTitle="توجه" error="یکی از گزینه های زیر را وارد نمایید_x000a__x000a_خیر_x000a_بلی_x000a__x000a_" sqref="H45" xr:uid="{00000000-0002-0000-0500-000009000000}">
      <formula1>$S$2:$S$3</formula1>
    </dataValidation>
    <dataValidation type="list" allowBlank="1" showInputMessage="1" showErrorMessage="1" errorTitle="توجه" error="یکی از گزینه های زیر را وارد نمایید_x000a__x000a_خیر_x000a_بلی_x000a__x000a__x000a_" sqref="M25 O83" xr:uid="{00000000-0002-0000-0000-000011000000}">
      <formula1>$S$2:$S$3</formula1>
    </dataValidation>
    <dataValidation type="list" allowBlank="1" showInputMessage="1" showErrorMessage="1" errorTitle="توجه" error="از 1 تا 5 عددی وارد نمایید_x000a_" promptTitle="نکته مهم" prompt="فقط تعداد فرزندان متولد سال 1401 قید شود (در صورتی که مشمول دریافت حق اولاد هستید)" sqref="O84" xr:uid="{17C59A9A-F3A4-4284-AAD4-74A9648D04FF}">
      <formula1>$U$1:$U$6</formula1>
    </dataValidation>
    <dataValidation type="whole" allowBlank="1" showInputMessage="1" showErrorMessage="1" errorTitle="توجه" error="در ورود اطلاعات دقت نمایید_x000a_عدد مربوط به امتیاز حق اولاد را مطابق با آخرین حکم کارگزینی وارد نمایید" sqref="L84" xr:uid="{00000000-0002-0000-0000-00000C000000}">
      <formula1>0</formula1>
      <formula2>5000</formula2>
    </dataValidation>
    <dataValidation type="whole" allowBlank="1" showInputMessage="1" showErrorMessage="1" errorTitle="توجه" error="در ورود اطلاعات دقت فرمایید_x000a_امتیاز مربوط به حق عائله مندی را مطابق آخرین حکم کارگزینی وارد نمایید_x000a_عدد صفر (0) یا عددی از هشتصد و ذه (810) تا هزار و دویست و پانزده (۱۲۱۵) صحیح است" sqref="L83" xr:uid="{00000000-0002-0000-0000-00000B000000}">
      <formula1>0</formula1>
      <formula2>4000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6000000}">
          <x14:formula1>
            <xm:f>'ورود اطلاعات (2)'!$Y$7:$Y$9</xm:f>
          </x14:formula1>
          <xm:sqref>M22</xm:sqref>
        </x14:dataValidation>
        <x14:dataValidation type="list" allowBlank="1" showInputMessage="1" showErrorMessage="1" errorTitle="اخطار" error="از صفر تا 50 عددی وارد نمایید_x000a_" prompt="از صفر تا 50 عددی وارد نمایید_x000a_" xr:uid="{00000000-0002-0000-0000-000012000000}">
          <x14:formula1>
            <xm:f>'ورود اطلاعات (2)'!$V$3:$V$53</xm:f>
          </x14:formula1>
          <xm:sqref>O86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A1:AD53"/>
  <sheetViews>
    <sheetView rightToLeft="1" topLeftCell="I1" zoomScaleSheetLayoutView="100" workbookViewId="0">
      <selection activeCell="M14" sqref="M14"/>
    </sheetView>
  </sheetViews>
  <sheetFormatPr defaultColWidth="9.140625" defaultRowHeight="18"/>
  <cols>
    <col min="1" max="1" width="3.28515625" style="91" customWidth="1"/>
    <col min="2" max="2" width="11.7109375" style="91" customWidth="1"/>
    <col min="3" max="3" width="19.7109375" style="91" customWidth="1"/>
    <col min="4" max="4" width="15.7109375" style="91" customWidth="1"/>
    <col min="5" max="5" width="3" style="91" customWidth="1"/>
    <col min="6" max="6" width="30.7109375" style="91" customWidth="1"/>
    <col min="7" max="7" width="15.7109375" style="91" customWidth="1"/>
    <col min="8" max="8" width="4.28515625" style="91" customWidth="1"/>
    <col min="9" max="9" width="9.140625" style="91"/>
    <col min="10" max="10" width="29.140625" style="91" customWidth="1"/>
    <col min="11" max="11" width="15.140625" style="91" customWidth="1"/>
    <col min="12" max="12" width="9.140625" style="91"/>
    <col min="13" max="13" width="11.7109375" style="91" customWidth="1"/>
    <col min="14" max="15" width="9.140625" style="91"/>
    <col min="16" max="16" width="14.7109375" style="91" bestFit="1" customWidth="1"/>
    <col min="17" max="18" width="9.140625" style="91"/>
    <col min="19" max="23" width="9.140625" style="51"/>
    <col min="24" max="26" width="9.140625" style="91"/>
    <col min="27" max="27" width="16.140625" style="91" customWidth="1"/>
    <col min="28" max="28" width="16.28515625" style="91" customWidth="1"/>
    <col min="29" max="16384" width="9.140625" style="91"/>
  </cols>
  <sheetData>
    <row r="1" spans="1:30" ht="20.25">
      <c r="A1" s="89"/>
      <c r="B1" s="484" t="s">
        <v>136</v>
      </c>
      <c r="C1" s="484"/>
      <c r="D1" s="484"/>
      <c r="E1" s="484"/>
      <c r="F1" s="484"/>
      <c r="G1" s="484"/>
      <c r="H1" s="89"/>
      <c r="I1" s="90"/>
      <c r="Y1" s="91" t="s">
        <v>137</v>
      </c>
      <c r="Z1" s="91">
        <f>IF(Y1='ورود اطلاعات'!C26,0,0)</f>
        <v>0</v>
      </c>
      <c r="AA1" s="92" t="s">
        <v>33</v>
      </c>
      <c r="AB1" s="91">
        <v>18</v>
      </c>
      <c r="AC1" s="91">
        <f>IF(AA1='ورود اطلاعات'!C24,AB1,0)</f>
        <v>0</v>
      </c>
    </row>
    <row r="2" spans="1:30">
      <c r="A2" s="89"/>
      <c r="B2" s="485" t="s">
        <v>138</v>
      </c>
      <c r="C2" s="485"/>
      <c r="D2" s="485"/>
      <c r="E2" s="485"/>
      <c r="F2" s="485"/>
      <c r="G2" s="485"/>
      <c r="H2" s="89"/>
      <c r="I2" s="90"/>
      <c r="S2" s="91" t="s">
        <v>139</v>
      </c>
      <c r="T2" s="91" t="s">
        <v>140</v>
      </c>
      <c r="U2" s="91" t="s">
        <v>123</v>
      </c>
      <c r="V2" s="91" t="s">
        <v>141</v>
      </c>
      <c r="W2" s="91" t="s">
        <v>12</v>
      </c>
      <c r="Y2" s="91" t="s">
        <v>142</v>
      </c>
      <c r="Z2" s="91">
        <f>IF(Y2='ورود اطلاعات'!C26,52.5,0)</f>
        <v>0</v>
      </c>
      <c r="AA2" s="92" t="s">
        <v>30</v>
      </c>
      <c r="AB2" s="91">
        <v>25</v>
      </c>
      <c r="AC2" s="91">
        <f>IF(AA2='ورود اطلاعات'!C24,AB2,0)</f>
        <v>0</v>
      </c>
    </row>
    <row r="3" spans="1:30" ht="18.75" thickBot="1">
      <c r="A3" s="89"/>
      <c r="B3" s="486" t="s">
        <v>143</v>
      </c>
      <c r="C3" s="486"/>
      <c r="D3" s="486"/>
      <c r="E3" s="486"/>
      <c r="F3" s="486"/>
      <c r="G3" s="486"/>
      <c r="H3" s="89"/>
      <c r="I3" s="90"/>
      <c r="S3" s="93">
        <v>0</v>
      </c>
      <c r="T3" s="93">
        <v>0</v>
      </c>
      <c r="U3" s="93">
        <v>0</v>
      </c>
      <c r="V3" s="93">
        <v>0</v>
      </c>
      <c r="W3" s="91" t="s">
        <v>13</v>
      </c>
      <c r="Y3" s="91" t="s">
        <v>144</v>
      </c>
      <c r="Z3" s="91">
        <f>IF(Y3='ورود اطلاعات'!C26,105,0)</f>
        <v>0</v>
      </c>
      <c r="AA3" s="92" t="s">
        <v>31</v>
      </c>
      <c r="AB3" s="91">
        <v>32</v>
      </c>
      <c r="AC3" s="91">
        <f>IF(AA3='ورود اطلاعات'!C24,AB3,0)</f>
        <v>0</v>
      </c>
    </row>
    <row r="4" spans="1:30" ht="24" customHeight="1" thickBot="1">
      <c r="A4" s="89"/>
      <c r="B4" s="487" t="s">
        <v>14</v>
      </c>
      <c r="C4" s="488"/>
      <c r="D4" s="94" t="s">
        <v>0</v>
      </c>
      <c r="E4" s="119"/>
      <c r="F4" s="120" t="s">
        <v>145</v>
      </c>
      <c r="G4" s="95">
        <v>2120</v>
      </c>
      <c r="H4" s="89"/>
      <c r="S4" s="93">
        <v>5</v>
      </c>
      <c r="T4" s="93">
        <v>5</v>
      </c>
      <c r="U4" s="93">
        <v>1</v>
      </c>
      <c r="V4" s="93">
        <v>1</v>
      </c>
      <c r="Y4" s="91" t="s">
        <v>6</v>
      </c>
      <c r="Z4" s="91">
        <f>SUM(Z1:Z3)</f>
        <v>0</v>
      </c>
      <c r="AA4" s="92" t="s">
        <v>32</v>
      </c>
      <c r="AB4" s="91">
        <v>39</v>
      </c>
      <c r="AC4" s="91">
        <f>IF(AA4='ورود اطلاعات'!C24,AB4,0)</f>
        <v>39</v>
      </c>
    </row>
    <row r="5" spans="1:30" ht="24" customHeight="1" thickBot="1">
      <c r="A5" s="89"/>
      <c r="B5" s="489" t="s">
        <v>22</v>
      </c>
      <c r="C5" s="121" t="s">
        <v>3</v>
      </c>
      <c r="D5" s="164">
        <v>4000</v>
      </c>
      <c r="E5" s="119"/>
      <c r="F5" s="122" t="s">
        <v>146</v>
      </c>
      <c r="G5" s="165" t="s">
        <v>13</v>
      </c>
      <c r="H5" s="89"/>
      <c r="S5" s="93">
        <v>6</v>
      </c>
      <c r="T5" s="93">
        <v>6</v>
      </c>
      <c r="U5" s="93">
        <v>2</v>
      </c>
      <c r="V5" s="93">
        <v>2</v>
      </c>
      <c r="AA5" s="92" t="s">
        <v>147</v>
      </c>
      <c r="AB5" s="91">
        <v>46</v>
      </c>
      <c r="AC5" s="91">
        <f>IF(AA5='ورود اطلاعات'!C24,AB5,0)</f>
        <v>0</v>
      </c>
    </row>
    <row r="6" spans="1:30" ht="24" customHeight="1" thickBot="1">
      <c r="A6" s="89"/>
      <c r="B6" s="490"/>
      <c r="C6" s="125" t="s">
        <v>4</v>
      </c>
      <c r="D6" s="166">
        <v>0</v>
      </c>
      <c r="E6" s="119"/>
      <c r="F6" s="96"/>
      <c r="G6" s="96"/>
      <c r="H6" s="89"/>
      <c r="J6" s="189" t="s">
        <v>165</v>
      </c>
      <c r="K6" s="193" t="s">
        <v>13</v>
      </c>
      <c r="P6" s="107" t="s">
        <v>148</v>
      </c>
      <c r="Q6" s="107">
        <f>'جدول محاسبات'!F4*75%</f>
        <v>0</v>
      </c>
      <c r="R6" s="107">
        <f>IF(Q8&gt;Q6,Q6,Q8)</f>
        <v>0</v>
      </c>
      <c r="S6" s="93">
        <v>7</v>
      </c>
      <c r="T6" s="93">
        <v>7</v>
      </c>
      <c r="U6" s="93">
        <v>3</v>
      </c>
      <c r="V6" s="93">
        <v>3</v>
      </c>
      <c r="AA6" s="92" t="s">
        <v>149</v>
      </c>
      <c r="AB6" s="91">
        <v>53</v>
      </c>
      <c r="AC6" s="91">
        <f>IF(AA6='ورود اطلاعات'!C24,AB6,0)</f>
        <v>0</v>
      </c>
    </row>
    <row r="7" spans="1:30" ht="24" customHeight="1" thickBot="1">
      <c r="A7" s="89"/>
      <c r="B7" s="490"/>
      <c r="C7" s="125" t="s">
        <v>5</v>
      </c>
      <c r="D7" s="166">
        <v>3188</v>
      </c>
      <c r="E7" s="119"/>
      <c r="F7" s="97" t="s">
        <v>150</v>
      </c>
      <c r="G7" s="98" t="s">
        <v>1</v>
      </c>
      <c r="H7" s="89"/>
      <c r="P7" s="107" t="s">
        <v>151</v>
      </c>
      <c r="Q7" s="107">
        <f>('جدول محاسبات'!F4+'جدول محاسبات'!F5)*75%</f>
        <v>0</v>
      </c>
      <c r="R7" s="107">
        <f>IF(Q8&gt;Q7,Q7,Q8)</f>
        <v>0</v>
      </c>
      <c r="S7" s="93">
        <v>8</v>
      </c>
      <c r="T7" s="93">
        <v>8</v>
      </c>
      <c r="U7" s="93">
        <v>4</v>
      </c>
      <c r="V7" s="93">
        <v>4</v>
      </c>
      <c r="Y7" s="91" t="s">
        <v>172</v>
      </c>
      <c r="AB7" s="115" t="s">
        <v>59</v>
      </c>
      <c r="AC7" s="115">
        <f>IF('ورود اطلاعات'!C23="بلی",SUM(AC1:AC6),0)</f>
        <v>39</v>
      </c>
      <c r="AD7" s="115">
        <f>AC7/12</f>
        <v>3.25</v>
      </c>
    </row>
    <row r="8" spans="1:30" ht="24" customHeight="1" thickBot="1">
      <c r="A8" s="89"/>
      <c r="B8" s="491"/>
      <c r="C8" s="123" t="s">
        <v>6</v>
      </c>
      <c r="D8" s="99">
        <f>SUM(D5:D7)</f>
        <v>7188</v>
      </c>
      <c r="E8" s="119"/>
      <c r="F8" s="120" t="s">
        <v>10</v>
      </c>
      <c r="G8" s="167">
        <v>0</v>
      </c>
      <c r="H8" s="89"/>
      <c r="P8" s="107" t="s">
        <v>152</v>
      </c>
      <c r="Q8" s="181">
        <f>'جدول محاسبات'!F6+'ورود اطلاعات (2)'!K11</f>
        <v>58.5</v>
      </c>
      <c r="R8" s="107"/>
      <c r="S8" s="93">
        <v>9</v>
      </c>
      <c r="T8" s="93">
        <v>10</v>
      </c>
      <c r="U8" s="93">
        <v>5</v>
      </c>
      <c r="V8" s="93">
        <v>5</v>
      </c>
      <c r="Y8" s="91" t="s">
        <v>173</v>
      </c>
      <c r="AB8" s="115" t="s">
        <v>153</v>
      </c>
      <c r="AC8" s="115">
        <f>IF(('ورود اطلاعات'!C25/2)&lt;500,'ورود اطلاعات'!C25/2,500)</f>
        <v>0</v>
      </c>
      <c r="AD8" s="115">
        <f>AC8</f>
        <v>0</v>
      </c>
    </row>
    <row r="9" spans="1:30" ht="24" customHeight="1" thickBot="1">
      <c r="A9" s="89"/>
      <c r="B9" s="482" t="s">
        <v>15</v>
      </c>
      <c r="C9" s="483"/>
      <c r="D9" s="168">
        <v>1500</v>
      </c>
      <c r="E9" s="119"/>
      <c r="F9" s="122" t="s">
        <v>11</v>
      </c>
      <c r="G9" s="169">
        <v>0</v>
      </c>
      <c r="H9" s="89"/>
      <c r="P9" s="107" t="s">
        <v>154</v>
      </c>
      <c r="Q9" s="107">
        <f>IF('ورود اطلاعات (2)'!K6="خیر",R6,R7)</f>
        <v>0</v>
      </c>
      <c r="R9" s="107"/>
      <c r="S9" s="93">
        <v>10</v>
      </c>
      <c r="U9" s="93">
        <v>6</v>
      </c>
      <c r="V9" s="93">
        <v>6</v>
      </c>
      <c r="Y9" s="91" t="s">
        <v>174</v>
      </c>
      <c r="AB9" s="115" t="s">
        <v>175</v>
      </c>
      <c r="AC9" s="115">
        <f>Z4</f>
        <v>0</v>
      </c>
      <c r="AD9" s="115">
        <f>AC9/12</f>
        <v>0</v>
      </c>
    </row>
    <row r="10" spans="1:30" ht="24" customHeight="1" thickBot="1">
      <c r="A10" s="89"/>
      <c r="B10" s="480" t="s">
        <v>16</v>
      </c>
      <c r="C10" s="481"/>
      <c r="D10" s="166">
        <v>0</v>
      </c>
      <c r="E10" s="119"/>
      <c r="F10" s="89"/>
      <c r="G10" s="89"/>
      <c r="H10" s="89"/>
      <c r="J10" s="89"/>
      <c r="K10" s="89"/>
      <c r="S10" s="93">
        <v>11</v>
      </c>
      <c r="U10" s="93">
        <v>7</v>
      </c>
      <c r="V10" s="93">
        <v>7</v>
      </c>
      <c r="AB10" s="115" t="s">
        <v>155</v>
      </c>
      <c r="AC10" s="115">
        <f>SUM(AC7:AC9)*Sheet2!O86%</f>
        <v>19.5</v>
      </c>
      <c r="AD10" s="115">
        <f>SUM(AD7:AD9)*Sheet2!O86%</f>
        <v>1.625</v>
      </c>
    </row>
    <row r="11" spans="1:30" ht="24" customHeight="1">
      <c r="A11" s="89"/>
      <c r="B11" s="480" t="s">
        <v>17</v>
      </c>
      <c r="C11" s="481"/>
      <c r="D11" s="166">
        <v>0</v>
      </c>
      <c r="E11" s="119"/>
      <c r="F11" s="97" t="s">
        <v>150</v>
      </c>
      <c r="G11" s="98" t="s">
        <v>156</v>
      </c>
      <c r="H11" s="89"/>
      <c r="J11" s="105" t="s">
        <v>159</v>
      </c>
      <c r="K11" s="182">
        <f>AC11</f>
        <v>58.5</v>
      </c>
      <c r="S11" s="93">
        <v>12</v>
      </c>
      <c r="U11" s="93">
        <v>8</v>
      </c>
      <c r="V11" s="93">
        <v>8</v>
      </c>
      <c r="AB11" s="115" t="s">
        <v>196</v>
      </c>
      <c r="AC11" s="116">
        <f>IF(Sheet2!M22="قراردادی",SUM(AC7:AC10)*80%,SUM(AC7:AC10))</f>
        <v>58.5</v>
      </c>
      <c r="AD11" s="116">
        <f>SUM(AD7:AD10)</f>
        <v>4.875</v>
      </c>
    </row>
    <row r="12" spans="1:30" ht="24" customHeight="1" thickBot="1">
      <c r="A12" s="89"/>
      <c r="B12" s="480" t="s">
        <v>18</v>
      </c>
      <c r="C12" s="481"/>
      <c r="D12" s="166">
        <v>0</v>
      </c>
      <c r="E12" s="119"/>
      <c r="F12" s="124" t="s">
        <v>23</v>
      </c>
      <c r="G12" s="170">
        <v>21</v>
      </c>
      <c r="H12" s="89"/>
      <c r="J12" s="106" t="s">
        <v>160</v>
      </c>
      <c r="K12" s="114">
        <f>IF(Q9&gt;'جدول محاسبات'!F6,Q9,'جدول محاسبات'!F6)</f>
        <v>0</v>
      </c>
      <c r="S12" s="93">
        <v>13</v>
      </c>
      <c r="U12" s="93">
        <v>9</v>
      </c>
      <c r="V12" s="93">
        <v>9</v>
      </c>
    </row>
    <row r="13" spans="1:30" ht="24" customHeight="1">
      <c r="A13" s="89"/>
      <c r="B13" s="480" t="s">
        <v>19</v>
      </c>
      <c r="C13" s="481"/>
      <c r="D13" s="166">
        <v>800</v>
      </c>
      <c r="E13" s="119"/>
      <c r="F13" s="124" t="s">
        <v>24</v>
      </c>
      <c r="G13" s="171">
        <v>0</v>
      </c>
      <c r="H13" s="89"/>
      <c r="S13" s="93">
        <v>15</v>
      </c>
      <c r="U13" s="93">
        <v>10</v>
      </c>
      <c r="V13" s="93">
        <v>10</v>
      </c>
    </row>
    <row r="14" spans="1:30" ht="24" customHeight="1">
      <c r="A14" s="89"/>
      <c r="B14" s="480" t="s">
        <v>20</v>
      </c>
      <c r="C14" s="481"/>
      <c r="D14" s="166">
        <v>0</v>
      </c>
      <c r="E14" s="119"/>
      <c r="F14" s="124" t="s">
        <v>25</v>
      </c>
      <c r="G14" s="171">
        <v>0</v>
      </c>
      <c r="H14" s="89"/>
      <c r="U14" s="93">
        <v>11</v>
      </c>
      <c r="V14" s="93">
        <v>11</v>
      </c>
    </row>
    <row r="15" spans="1:30" ht="24" customHeight="1" thickBot="1">
      <c r="A15" s="89"/>
      <c r="B15" s="477" t="s">
        <v>21</v>
      </c>
      <c r="C15" s="478"/>
      <c r="D15" s="172">
        <v>0</v>
      </c>
      <c r="E15" s="119"/>
      <c r="F15" s="122" t="s">
        <v>157</v>
      </c>
      <c r="G15" s="165">
        <v>0</v>
      </c>
      <c r="H15" s="89"/>
      <c r="U15" s="93">
        <v>12</v>
      </c>
      <c r="V15" s="93">
        <v>12</v>
      </c>
    </row>
    <row r="16" spans="1:30" ht="20.25" thickBot="1">
      <c r="A16" s="89"/>
      <c r="B16" s="67"/>
      <c r="C16" s="67"/>
      <c r="D16" s="100"/>
      <c r="E16" s="89"/>
      <c r="F16" s="89"/>
      <c r="G16" s="89"/>
      <c r="H16" s="89"/>
      <c r="U16" s="93">
        <v>13</v>
      </c>
      <c r="V16" s="93">
        <v>13</v>
      </c>
    </row>
    <row r="17" spans="1:22" ht="19.5">
      <c r="A17" s="89"/>
      <c r="B17" s="475"/>
      <c r="C17" s="476"/>
      <c r="D17" s="476"/>
      <c r="E17" s="476"/>
      <c r="F17" s="476"/>
      <c r="H17" s="89"/>
      <c r="U17" s="93">
        <v>14</v>
      </c>
      <c r="V17" s="93">
        <v>14</v>
      </c>
    </row>
    <row r="18" spans="1:22" ht="20.25" thickBot="1">
      <c r="A18" s="89"/>
      <c r="B18" s="477" t="s">
        <v>158</v>
      </c>
      <c r="C18" s="478"/>
      <c r="D18" s="478"/>
      <c r="E18" s="478"/>
      <c r="F18" s="478"/>
      <c r="G18" s="172" t="s">
        <v>13</v>
      </c>
      <c r="H18" s="89"/>
      <c r="U18" s="93">
        <v>15</v>
      </c>
      <c r="V18" s="93">
        <v>15</v>
      </c>
    </row>
    <row r="19" spans="1:22" ht="25.5" customHeight="1">
      <c r="A19" s="89"/>
      <c r="B19" s="89"/>
      <c r="C19" s="89"/>
      <c r="D19" s="89"/>
      <c r="E19" s="89"/>
      <c r="F19" s="89"/>
      <c r="G19" s="89"/>
      <c r="H19" s="89"/>
      <c r="U19" s="93">
        <v>16</v>
      </c>
      <c r="V19" s="93">
        <v>16</v>
      </c>
    </row>
    <row r="20" spans="1:22">
      <c r="A20" s="89"/>
      <c r="E20" s="89"/>
      <c r="F20" s="89"/>
      <c r="G20" s="89"/>
      <c r="H20" s="89"/>
      <c r="U20" s="93">
        <v>17</v>
      </c>
      <c r="V20" s="93">
        <v>17</v>
      </c>
    </row>
    <row r="21" spans="1:22">
      <c r="A21" s="89"/>
      <c r="E21" s="89"/>
      <c r="F21" s="89"/>
      <c r="G21" s="89"/>
      <c r="H21" s="89"/>
      <c r="U21" s="93">
        <v>18</v>
      </c>
      <c r="V21" s="93">
        <v>18</v>
      </c>
    </row>
    <row r="22" spans="1:22" ht="19.5">
      <c r="A22" s="89"/>
      <c r="E22" s="101"/>
      <c r="F22" s="89"/>
      <c r="G22" s="89"/>
      <c r="H22" s="89"/>
      <c r="U22" s="93">
        <v>19</v>
      </c>
      <c r="V22" s="93">
        <v>19</v>
      </c>
    </row>
    <row r="23" spans="1:22" ht="21">
      <c r="A23" s="89"/>
      <c r="E23" s="102"/>
      <c r="F23" s="479"/>
      <c r="G23" s="479"/>
      <c r="H23" s="89"/>
      <c r="U23" s="93">
        <v>20</v>
      </c>
      <c r="V23" s="93">
        <v>20</v>
      </c>
    </row>
    <row r="24" spans="1:22">
      <c r="A24" s="89"/>
      <c r="E24" s="103"/>
      <c r="F24" s="377"/>
      <c r="G24" s="377"/>
      <c r="H24" s="89"/>
      <c r="U24" s="93">
        <v>21</v>
      </c>
      <c r="V24" s="93">
        <v>21</v>
      </c>
    </row>
    <row r="25" spans="1:22" ht="19.5">
      <c r="A25" s="89"/>
      <c r="E25" s="89"/>
      <c r="F25" s="473"/>
      <c r="G25" s="473"/>
      <c r="H25" s="89"/>
      <c r="U25" s="93">
        <v>22</v>
      </c>
      <c r="V25" s="93">
        <v>22</v>
      </c>
    </row>
    <row r="26" spans="1:22">
      <c r="A26" s="89"/>
      <c r="E26" s="104"/>
      <c r="F26" s="474"/>
      <c r="G26" s="474"/>
      <c r="H26" s="89"/>
      <c r="U26" s="93">
        <v>23</v>
      </c>
      <c r="V26" s="93">
        <v>23</v>
      </c>
    </row>
    <row r="27" spans="1:22">
      <c r="A27" s="89"/>
      <c r="E27" s="89"/>
      <c r="F27" s="472"/>
      <c r="G27" s="372"/>
      <c r="H27" s="89"/>
      <c r="U27" s="93">
        <v>24</v>
      </c>
      <c r="V27" s="93">
        <v>24</v>
      </c>
    </row>
    <row r="28" spans="1:22">
      <c r="A28" s="89"/>
      <c r="E28" s="89"/>
      <c r="F28" s="472"/>
      <c r="G28" s="372"/>
      <c r="H28" s="89"/>
      <c r="U28" s="93">
        <v>25</v>
      </c>
      <c r="V28" s="93">
        <v>25</v>
      </c>
    </row>
    <row r="29" spans="1:22">
      <c r="A29" s="89"/>
      <c r="B29" s="89"/>
      <c r="C29" s="89"/>
      <c r="D29" s="89"/>
      <c r="E29" s="89"/>
      <c r="F29" s="89"/>
      <c r="G29" s="89"/>
      <c r="H29" s="89"/>
      <c r="U29" s="93">
        <v>26</v>
      </c>
      <c r="V29" s="93">
        <v>26</v>
      </c>
    </row>
    <row r="30" spans="1:22">
      <c r="U30" s="93">
        <v>27</v>
      </c>
      <c r="V30" s="93">
        <v>27</v>
      </c>
    </row>
    <row r="31" spans="1:22">
      <c r="U31" s="93">
        <v>28</v>
      </c>
      <c r="V31" s="93">
        <v>28</v>
      </c>
    </row>
    <row r="32" spans="1:22">
      <c r="U32" s="93">
        <v>29</v>
      </c>
      <c r="V32" s="93">
        <v>29</v>
      </c>
    </row>
    <row r="33" spans="10:22">
      <c r="U33" s="93">
        <v>30</v>
      </c>
      <c r="V33" s="93">
        <v>30</v>
      </c>
    </row>
    <row r="34" spans="10:22">
      <c r="V34" s="93">
        <v>31</v>
      </c>
    </row>
    <row r="35" spans="10:22">
      <c r="V35" s="93">
        <v>32</v>
      </c>
    </row>
    <row r="36" spans="10:22">
      <c r="V36" s="93">
        <v>33</v>
      </c>
    </row>
    <row r="37" spans="10:22" ht="18.75" thickBot="1">
      <c r="V37" s="93">
        <v>34</v>
      </c>
    </row>
    <row r="38" spans="10:22" ht="20.25" thickBot="1">
      <c r="J38" s="117"/>
      <c r="K38" s="117"/>
      <c r="V38" s="93">
        <v>35</v>
      </c>
    </row>
    <row r="39" spans="10:22" ht="21.75" thickBot="1">
      <c r="J39" s="111"/>
      <c r="K39" s="113"/>
      <c r="V39" s="93">
        <v>36</v>
      </c>
    </row>
    <row r="40" spans="10:22">
      <c r="J40" s="110"/>
      <c r="K40" s="113"/>
      <c r="V40" s="93">
        <v>37</v>
      </c>
    </row>
    <row r="41" spans="10:22">
      <c r="J41" s="108"/>
      <c r="K41" s="113"/>
      <c r="V41" s="93">
        <v>38</v>
      </c>
    </row>
    <row r="42" spans="10:22">
      <c r="J42" s="108"/>
      <c r="K42" s="113"/>
      <c r="V42" s="93">
        <v>39</v>
      </c>
    </row>
    <row r="43" spans="10:22">
      <c r="J43" s="108"/>
      <c r="K43" s="113"/>
      <c r="V43" s="93">
        <v>40</v>
      </c>
    </row>
    <row r="44" spans="10:22">
      <c r="J44" s="108"/>
      <c r="K44" s="113"/>
      <c r="V44" s="93">
        <v>41</v>
      </c>
    </row>
    <row r="45" spans="10:22" ht="18.75" thickBot="1">
      <c r="J45" s="109"/>
      <c r="K45" s="113"/>
      <c r="V45" s="93">
        <v>42</v>
      </c>
    </row>
    <row r="46" spans="10:22">
      <c r="J46" s="49"/>
      <c r="K46" s="49"/>
      <c r="V46" s="93">
        <v>43</v>
      </c>
    </row>
    <row r="47" spans="10:22" ht="24">
      <c r="J47" s="88" t="s">
        <v>197</v>
      </c>
      <c r="K47" s="173">
        <v>17974500</v>
      </c>
      <c r="V47" s="93">
        <v>44</v>
      </c>
    </row>
    <row r="48" spans="10:22" ht="24">
      <c r="J48" s="88" t="s">
        <v>198</v>
      </c>
      <c r="K48" s="173">
        <v>22468000</v>
      </c>
      <c r="M48" s="183"/>
      <c r="V48" s="93">
        <v>45</v>
      </c>
    </row>
    <row r="49" spans="10:22" ht="24">
      <c r="J49" s="88" t="s">
        <v>162</v>
      </c>
      <c r="K49" s="174">
        <f>ROUND(Sheet2!H51+(Sheet2!H51*K50%),0)</f>
        <v>4829</v>
      </c>
      <c r="M49" s="183"/>
      <c r="V49" s="93">
        <v>46</v>
      </c>
    </row>
    <row r="50" spans="10:22" ht="24">
      <c r="J50" s="88" t="s">
        <v>135</v>
      </c>
      <c r="K50" s="175">
        <f>IF(K52&gt;Sheet2!H10,Sheet2!H10,K52)</f>
        <v>0</v>
      </c>
      <c r="V50" s="93">
        <v>47</v>
      </c>
    </row>
    <row r="51" spans="10:22" ht="24">
      <c r="J51" s="88" t="s">
        <v>166</v>
      </c>
      <c r="K51" s="176">
        <f>'جدول محاسبات'!G35/1000000</f>
        <v>79.270799999999994</v>
      </c>
      <c r="V51" s="93">
        <v>48</v>
      </c>
    </row>
    <row r="52" spans="10:22" ht="24">
      <c r="J52" s="88" t="s">
        <v>167</v>
      </c>
      <c r="K52" s="176">
        <f>IF(K51&lt;=51,((-Sheet2!H10)/(27))*(K51-51),0)</f>
        <v>0</v>
      </c>
      <c r="V52" s="93">
        <v>49</v>
      </c>
    </row>
    <row r="53" spans="10:22">
      <c r="V53" s="93">
        <v>50</v>
      </c>
    </row>
  </sheetData>
  <mergeCells count="20">
    <mergeCell ref="B9:C9"/>
    <mergeCell ref="B1:G1"/>
    <mergeCell ref="B2:G2"/>
    <mergeCell ref="B3:G3"/>
    <mergeCell ref="B4:C4"/>
    <mergeCell ref="B5:B8"/>
    <mergeCell ref="B17:F17"/>
    <mergeCell ref="B18:F18"/>
    <mergeCell ref="F23:G23"/>
    <mergeCell ref="B10:C10"/>
    <mergeCell ref="B11:C11"/>
    <mergeCell ref="B12:C12"/>
    <mergeCell ref="B13:C13"/>
    <mergeCell ref="B14:C14"/>
    <mergeCell ref="B15:C15"/>
    <mergeCell ref="F28:G28"/>
    <mergeCell ref="F24:G24"/>
    <mergeCell ref="F25:G25"/>
    <mergeCell ref="F26:G26"/>
    <mergeCell ref="F27:G27"/>
  </mergeCells>
  <dataValidations count="5">
    <dataValidation type="list" allowBlank="1" showInputMessage="1" showErrorMessage="1" sqref="G5 G18 K6" xr:uid="{00000000-0002-0000-0600-000000000000}">
      <formula1>$W$2:$W$3</formula1>
    </dataValidation>
    <dataValidation type="list" allowBlank="1" showInputMessage="1" showErrorMessage="1" sqref="G15" xr:uid="{00000000-0002-0000-0600-000001000000}">
      <formula1>$U$3:$U$33</formula1>
    </dataValidation>
    <dataValidation type="list" allowBlank="1" showInputMessage="1" showErrorMessage="1" sqref="G14" xr:uid="{00000000-0002-0000-0600-000002000000}">
      <formula1>$S$3:$S$13</formula1>
    </dataValidation>
    <dataValidation type="list" allowBlank="1" showInputMessage="1" showErrorMessage="1" sqref="G13" xr:uid="{00000000-0002-0000-0600-000003000000}">
      <formula1>$T$3:$T$8</formula1>
    </dataValidation>
    <dataValidation type="list" allowBlank="1" showInputMessage="1" showErrorMessage="1" sqref="G12" xr:uid="{00000000-0002-0000-0600-000004000000}">
      <formula1>$V$3:$V$53</formula1>
    </dataValidation>
  </dataValidations>
  <printOptions horizontalCentered="1"/>
  <pageMargins left="0.23622047244094491" right="0.23622047244094491"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ورود اطلاعات</vt:lpstr>
      <vt:lpstr>جدول محاسبات</vt:lpstr>
      <vt:lpstr>حکم سال 1402</vt:lpstr>
      <vt:lpstr>حکم سال 1403</vt:lpstr>
      <vt:lpstr>'جدول محاسبات'!Print_Area</vt:lpstr>
      <vt:lpstr>'حکم سال 1402'!Print_Area</vt:lpstr>
      <vt:lpstr>'حکم سال 1403'!Print_Area</vt:lpstr>
      <vt:lpstr>'ورود اطلاعات'!Print_Area</vt:lpstr>
      <vt:lpstr>'ورود اطلاعات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2024-03-27T16:15:47Z</dcterms:modified>
</cp:coreProperties>
</file>