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5B575F9C-8671-43B1-9F5C-0A125E2EEDF5}" xr6:coauthVersionLast="47" xr6:coauthVersionMax="47" xr10:uidLastSave="{00000000-0000-0000-0000-000000000000}"/>
  <workbookProtection workbookAlgorithmName="SHA-512" workbookHashValue="gEWbuhXThWM5EVL1EU5iUBzvdAibqp91AO69jEeJ5ch+PwCIQmj+7ZwhltYDJfBitN/knFYcGHIV/NmuYRYQnA==" workbookSaltValue="LeRxQ5Q9tIzjluFvlgHGXA==" workbookSpinCount="100000" lockStructure="1"/>
  <bookViews>
    <workbookView xWindow="-93" yWindow="-93" windowWidth="25786" windowHeight="13986" tabRatio="658" xr2:uid="{00000000-000D-0000-FFFF-FFFF00000000}"/>
  </bookViews>
  <sheets>
    <sheet name="ورود اطلاعات" sheetId="5" r:id="rId1"/>
    <sheet name="جدول محاسبات" sheetId="7" r:id="rId2"/>
    <sheet name="حکم سال 1400" sheetId="8" r:id="rId3"/>
    <sheet name="حکم سال 1401" sheetId="9" r:id="rId4"/>
    <sheet name="Sheet1" sheetId="11" state="veryHidden" r:id="rId5"/>
    <sheet name="Sheet2" sheetId="6" state="veryHidden" r:id="rId6"/>
    <sheet name="ورود اطلاعات (2)" sheetId="10" state="veryHidden" r:id="rId7"/>
  </sheets>
  <definedNames>
    <definedName name="_xlnm.Print_Area" localSheetId="1">'جدول محاسبات'!$B$1:$I$45</definedName>
    <definedName name="_xlnm.Print_Area" localSheetId="2">'حکم سال 1400'!$B$1:$H$48</definedName>
    <definedName name="_xlnm.Print_Area" localSheetId="3">'حکم سال 1401'!$B$1:$H$47</definedName>
    <definedName name="_xlnm.Print_Area" localSheetId="0">'ورود اطلاعات'!$B$1:$F$28</definedName>
    <definedName name="_xlnm.Print_Area" localSheetId="6">'ورود اطلاعات (2)'!$B$1:$G$28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9" i="6" l="1"/>
  <c r="F19" i="7"/>
  <c r="M58" i="6" s="1"/>
  <c r="H19" i="7" s="1"/>
  <c r="G28" i="7"/>
  <c r="G15" i="7"/>
  <c r="N54" i="6"/>
  <c r="B3" i="11"/>
  <c r="C3" i="11" s="1"/>
  <c r="B2" i="11"/>
  <c r="C2" i="11" s="1"/>
  <c r="G19" i="7" l="1"/>
  <c r="C4" i="11"/>
  <c r="I15" i="7"/>
  <c r="H28" i="9" s="1"/>
  <c r="G11" i="7" l="1"/>
  <c r="H24" i="8" s="1"/>
  <c r="G8" i="7" l="1"/>
  <c r="N47" i="6" s="1"/>
  <c r="I8" i="7" l="1"/>
  <c r="H21" i="9" s="1"/>
  <c r="Z3" i="10"/>
  <c r="Z2" i="10"/>
  <c r="Z1" i="10"/>
  <c r="AC8" i="10"/>
  <c r="H72" i="6" l="1"/>
  <c r="H65" i="6" l="1"/>
  <c r="D8" i="10" l="1"/>
  <c r="AC6" i="10"/>
  <c r="AC5" i="10"/>
  <c r="AC4" i="10"/>
  <c r="AC3" i="10"/>
  <c r="AC2" i="10"/>
  <c r="AC1" i="10"/>
  <c r="AC7" i="10" l="1"/>
  <c r="AD8" i="10"/>
  <c r="Z4" i="10"/>
  <c r="AC9" i="10" s="1"/>
  <c r="AD7" i="10" l="1"/>
  <c r="AC10" i="10"/>
  <c r="AC11" i="10" s="1"/>
  <c r="K11" i="10" s="1"/>
  <c r="AD9" i="10"/>
  <c r="AD10" i="10" l="1"/>
  <c r="AD11" i="10" s="1"/>
  <c r="G21" i="7"/>
  <c r="F4" i="7"/>
  <c r="M43" i="6" s="1"/>
  <c r="N43" i="6" s="1"/>
  <c r="F16" i="7"/>
  <c r="M55" i="6" s="1"/>
  <c r="N55" i="6" s="1"/>
  <c r="F5" i="7"/>
  <c r="H28" i="8"/>
  <c r="G10" i="7"/>
  <c r="M44" i="6" l="1"/>
  <c r="N44" i="6" s="1"/>
  <c r="H16" i="7"/>
  <c r="Q7" i="10"/>
  <c r="H4" i="7"/>
  <c r="Q6" i="10"/>
  <c r="G55" i="6"/>
  <c r="H55" i="6" s="1"/>
  <c r="G56" i="6"/>
  <c r="H56" i="6" s="1"/>
  <c r="G66" i="6"/>
  <c r="H66" i="6" s="1"/>
  <c r="G16" i="7"/>
  <c r="G4" i="7"/>
  <c r="K35" i="6" s="1"/>
  <c r="N60" i="6" s="1"/>
  <c r="G5" i="7"/>
  <c r="H34" i="8"/>
  <c r="AG39" i="6"/>
  <c r="H5" i="7" l="1"/>
  <c r="I5" i="7" s="1"/>
  <c r="H18" i="9" s="1"/>
  <c r="I16" i="7"/>
  <c r="H29" i="9" s="1"/>
  <c r="G29" i="9"/>
  <c r="I4" i="7"/>
  <c r="H17" i="9" s="1"/>
  <c r="G17" i="9"/>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F24" i="7"/>
  <c r="M63" i="6" s="1"/>
  <c r="N63" i="6" s="1"/>
  <c r="F23" i="7"/>
  <c r="M62" i="6" s="1"/>
  <c r="N62" i="6" s="1"/>
  <c r="G22" i="7"/>
  <c r="F20" i="7"/>
  <c r="M59" i="6" s="1"/>
  <c r="F18" i="7"/>
  <c r="M57" i="6" s="1"/>
  <c r="N57" i="6" s="1"/>
  <c r="F17" i="7"/>
  <c r="F14" i="7"/>
  <c r="G13" i="7"/>
  <c r="H26" i="8" s="1"/>
  <c r="G12" i="7"/>
  <c r="H25" i="8" s="1"/>
  <c r="H23" i="8"/>
  <c r="F9" i="7"/>
  <c r="H59" i="6"/>
  <c r="F6" i="7"/>
  <c r="Q8" i="10" s="1"/>
  <c r="R6" i="10" s="1"/>
  <c r="H18" i="8"/>
  <c r="H20" i="7" l="1"/>
  <c r="G18" i="9"/>
  <c r="G20" i="7"/>
  <c r="M48" i="6"/>
  <c r="N48" i="6" s="1"/>
  <c r="M53" i="6"/>
  <c r="N53" i="6" s="1"/>
  <c r="M56" i="6"/>
  <c r="N56" i="6" s="1"/>
  <c r="N61" i="6"/>
  <c r="I22" i="7" s="1"/>
  <c r="H38" i="9" s="1"/>
  <c r="H18" i="7"/>
  <c r="I18" i="7" s="1"/>
  <c r="H31" i="9" s="1"/>
  <c r="R7" i="10"/>
  <c r="Q9" i="10" s="1"/>
  <c r="K12" i="10" s="1"/>
  <c r="I21" i="7"/>
  <c r="H34" i="9" s="1"/>
  <c r="G68" i="6"/>
  <c r="H68" i="6" s="1"/>
  <c r="G73" i="6"/>
  <c r="H73" i="6" s="1"/>
  <c r="G74" i="6"/>
  <c r="H74" i="6" s="1"/>
  <c r="G60" i="6"/>
  <c r="H60" i="6" s="1"/>
  <c r="G64" i="6"/>
  <c r="H64" i="6" s="1"/>
  <c r="G67" i="6"/>
  <c r="H67" i="6" s="1"/>
  <c r="H38" i="8"/>
  <c r="G69" i="6"/>
  <c r="H69" i="6" s="1"/>
  <c r="G70" i="6"/>
  <c r="H70" i="6" s="1"/>
  <c r="G9" i="7"/>
  <c r="H22" i="8" s="1"/>
  <c r="G6" i="7"/>
  <c r="I38" i="6"/>
  <c r="G23" i="7"/>
  <c r="I39" i="6"/>
  <c r="G24" i="7"/>
  <c r="G18" i="7"/>
  <c r="H31" i="8" s="1"/>
  <c r="H21" i="8"/>
  <c r="G17" i="7"/>
  <c r="G14" i="7"/>
  <c r="G33" i="8"/>
  <c r="G19" i="8"/>
  <c r="H29" i="8"/>
  <c r="AN43" i="6"/>
  <c r="AA11" i="6"/>
  <c r="AN39" i="6" s="1"/>
  <c r="AB11" i="6"/>
  <c r="AC11" i="6" s="1"/>
  <c r="AC13" i="6" s="1"/>
  <c r="G30" i="8"/>
  <c r="G32" i="8"/>
  <c r="G27" i="8"/>
  <c r="G22" i="8"/>
  <c r="G18" i="8"/>
  <c r="G29" i="8"/>
  <c r="G35" i="8"/>
  <c r="G36" i="8"/>
  <c r="G31" i="8"/>
  <c r="Z44" i="6"/>
  <c r="AA44" i="6" s="1"/>
  <c r="AA42" i="6" s="1"/>
  <c r="AB42" i="6" s="1"/>
  <c r="AD42" i="6" s="1"/>
  <c r="AL43" i="6"/>
  <c r="AG44" i="6"/>
  <c r="AN41" i="6"/>
  <c r="AL41" i="6"/>
  <c r="AL39" i="6"/>
  <c r="AN42" i="6"/>
  <c r="AJ41" i="6"/>
  <c r="AN40" i="6"/>
  <c r="B43" i="7" l="1"/>
  <c r="I25" i="7"/>
  <c r="H35" i="9" s="1"/>
  <c r="H33" i="8"/>
  <c r="B44" i="7"/>
  <c r="H32" i="8"/>
  <c r="N59" i="6"/>
  <c r="N58" i="6"/>
  <c r="H9" i="7"/>
  <c r="I9" i="7" s="1"/>
  <c r="H22" i="9" s="1"/>
  <c r="H36" i="8"/>
  <c r="H17" i="7"/>
  <c r="I17" i="7" s="1"/>
  <c r="H30" i="9" s="1"/>
  <c r="H14" i="7"/>
  <c r="M45" i="6"/>
  <c r="G31" i="9"/>
  <c r="I20" i="7"/>
  <c r="H33" i="9" s="1"/>
  <c r="G33" i="9"/>
  <c r="H35" i="8"/>
  <c r="I36" i="6"/>
  <c r="K31" i="6" s="1"/>
  <c r="H19" i="8"/>
  <c r="G7" i="7"/>
  <c r="G26" i="7" s="1"/>
  <c r="H27" i="8"/>
  <c r="H30" i="8"/>
  <c r="AA41" i="6"/>
  <c r="AB40" i="6" s="1"/>
  <c r="AD40" i="6" s="1"/>
  <c r="AL44" i="6"/>
  <c r="AA43" i="6"/>
  <c r="AB43" i="6" s="1"/>
  <c r="AD43" i="6" s="1"/>
  <c r="AN44" i="6"/>
  <c r="AA40" i="6"/>
  <c r="G32" i="9" l="1"/>
  <c r="H6" i="7"/>
  <c r="E22" i="6" s="1"/>
  <c r="B41" i="7" s="1"/>
  <c r="I19" i="7"/>
  <c r="H32" i="9" s="1"/>
  <c r="H37" i="8"/>
  <c r="G22" i="9"/>
  <c r="G30" i="9"/>
  <c r="I14" i="7"/>
  <c r="H27" i="9" s="1"/>
  <c r="G27" i="9"/>
  <c r="N45" i="6"/>
  <c r="N46" i="6" s="1"/>
  <c r="M46" i="6"/>
  <c r="M67" i="6" s="1"/>
  <c r="G33" i="7"/>
  <c r="G36" i="7" s="1"/>
  <c r="G32" i="7"/>
  <c r="I37" i="6"/>
  <c r="K32" i="6" s="1"/>
  <c r="G57" i="6"/>
  <c r="AD44" i="6"/>
  <c r="AI39" i="6" s="1"/>
  <c r="N50" i="6" l="1"/>
  <c r="H7" i="7"/>
  <c r="H29" i="7" s="1"/>
  <c r="G19" i="9"/>
  <c r="G20" i="9" s="1"/>
  <c r="G39" i="9" s="1"/>
  <c r="I6" i="7"/>
  <c r="H19" i="9" s="1"/>
  <c r="H20" i="9" s="1"/>
  <c r="G29" i="7"/>
  <c r="G34" i="7" s="1"/>
  <c r="N49" i="6"/>
  <c r="J33" i="6"/>
  <c r="E10" i="7" s="1"/>
  <c r="J35" i="6"/>
  <c r="E11" i="7" s="1"/>
  <c r="K51" i="10"/>
  <c r="K52" i="10" s="1"/>
  <c r="K50" i="10" s="1"/>
  <c r="K49" i="10" s="1"/>
  <c r="H57" i="6"/>
  <c r="H58" i="6" s="1"/>
  <c r="AQ42" i="6" s="1"/>
  <c r="G58" i="6"/>
  <c r="G76" i="6" s="1"/>
  <c r="AI42" i="6"/>
  <c r="AJ42" i="6"/>
  <c r="AJ40" i="6"/>
  <c r="AI40" i="6"/>
  <c r="F7" i="7"/>
  <c r="F29" i="7" s="1"/>
  <c r="AJ39" i="6"/>
  <c r="I7" i="7" l="1"/>
  <c r="AI43" i="6"/>
  <c r="AJ44" i="6" s="1"/>
  <c r="G17" i="8"/>
  <c r="G20" i="8" s="1"/>
  <c r="G40" i="8" s="1"/>
  <c r="AJ43" i="6"/>
  <c r="H32" i="7" l="1"/>
  <c r="I10" i="7"/>
  <c r="H23" i="9" s="1"/>
  <c r="I11" i="7"/>
  <c r="H24" i="9" s="1"/>
  <c r="H61" i="6"/>
  <c r="H17" i="8"/>
  <c r="H20" i="8" s="1"/>
  <c r="H40" i="8" s="1"/>
  <c r="H33" i="7" l="1"/>
  <c r="H36" i="7" s="1"/>
  <c r="J34" i="6"/>
  <c r="E21" i="7" s="1"/>
  <c r="H71" i="6"/>
  <c r="G37" i="7"/>
  <c r="AQ38" i="6"/>
  <c r="I36" i="7" l="1"/>
  <c r="H37" i="7"/>
  <c r="K33" i="6"/>
  <c r="I12" i="7" s="1"/>
  <c r="K34" i="6"/>
  <c r="N52" i="6" l="1"/>
  <c r="I13" i="7"/>
  <c r="I2" i="6" s="1"/>
  <c r="E9" i="6" s="1"/>
  <c r="H25" i="9"/>
  <c r="H63" i="6"/>
  <c r="J32" i="6"/>
  <c r="E13" i="7" s="1"/>
  <c r="H62" i="6"/>
  <c r="J31" i="6"/>
  <c r="E12" i="7" s="1"/>
  <c r="I27" i="7" l="1"/>
  <c r="I29" i="7" s="1"/>
  <c r="H34" i="7" s="1"/>
  <c r="H26" i="9"/>
  <c r="H75" i="6"/>
  <c r="H76" i="6" s="1"/>
  <c r="I32" i="7" l="1"/>
  <c r="B45" i="7" s="1"/>
  <c r="AQ44" i="6"/>
  <c r="N51" i="6" s="1"/>
  <c r="H2" i="6" s="1"/>
  <c r="H36" i="9" l="1"/>
  <c r="N65" i="6"/>
  <c r="B40" i="7" s="1"/>
  <c r="I37" i="7"/>
  <c r="I33" i="7"/>
  <c r="B42" i="7" l="1"/>
  <c r="H3" i="6" l="1"/>
  <c r="H6" i="6" s="1"/>
  <c r="H5" i="6" s="1"/>
  <c r="H4" i="6"/>
  <c r="N67" i="6" l="1"/>
  <c r="H39" i="9" l="1"/>
  <c r="H35" i="7" l="1"/>
  <c r="I35" i="7"/>
  <c r="I34" i="7" l="1"/>
</calcChain>
</file>

<file path=xl/sharedStrings.xml><?xml version="1.0" encoding="utf-8"?>
<sst xmlns="http://schemas.openxmlformats.org/spreadsheetml/2006/main" count="444" uniqueCount="279">
  <si>
    <t>امتیاز</t>
  </si>
  <si>
    <t>مبلغ (ریال)</t>
  </si>
  <si>
    <t>الف) حقوق ثابت</t>
  </si>
  <si>
    <t>حق شغل</t>
  </si>
  <si>
    <t>فوق العاده مدیریت</t>
  </si>
  <si>
    <t>حق شاغل</t>
  </si>
  <si>
    <t>جمع</t>
  </si>
  <si>
    <t>ب ) تفاوت تطبیق</t>
  </si>
  <si>
    <t>پ ) فوق العاده شغل</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</si>
  <si>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</si>
  <si>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</si>
  <si>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</si>
  <si>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</si>
  <si>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</si>
  <si>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</si>
  <si>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</si>
  <si>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</si>
  <si>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</si>
  <si>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</si>
  <si>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</si>
  <si>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</si>
  <si>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</si>
  <si>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</si>
  <si>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</si>
  <si>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</si>
  <si>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</si>
  <si>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</si>
  <si>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</si>
  <si>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</si>
  <si>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شناسنامه قانون</t>
  </si>
  <si>
    <t>https://shenasname.ir/</t>
  </si>
  <si>
    <t>ZhowanMarket@gmail.com</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</si>
  <si>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</si>
  <si>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</si>
  <si>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</si>
  <si>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</si>
  <si>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</si>
  <si>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</si>
  <si>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</si>
  <si>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</si>
  <si>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</si>
  <si>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</si>
  <si>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</si>
  <si>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</si>
  <si>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</si>
  <si>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</si>
  <si>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</si>
  <si>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</si>
  <si>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</si>
  <si>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</si>
  <si>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</si>
  <si>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</si>
  <si>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</si>
  <si>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</si>
  <si>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</si>
  <si>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</si>
  <si>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</si>
  <si>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</si>
  <si>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</si>
  <si>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</si>
  <si>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</si>
  <si>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</si>
  <si>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</si>
  <si>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</si>
  <si>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</si>
  <si>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</si>
  <si>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</si>
  <si>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</si>
  <si>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</si>
  <si>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</si>
  <si>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</si>
  <si>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</si>
  <si>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</si>
  <si>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</si>
  <si>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</si>
  <si>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</si>
  <si>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</si>
  <si>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</si>
  <si>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</si>
  <si>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</si>
  <si>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</si>
  <si>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</si>
  <si>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</si>
  <si>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</si>
  <si>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</si>
  <si>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</si>
  <si>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</si>
  <si>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</si>
  <si>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</si>
  <si>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</si>
  <si>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</si>
  <si>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</si>
  <si>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</si>
  <si>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</si>
  <si>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</si>
  <si>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</si>
  <si>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</si>
  <si>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</si>
  <si>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</si>
  <si>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</si>
  <si>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</si>
  <si>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</si>
  <si>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</si>
  <si>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</si>
  <si>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</si>
  <si>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</si>
  <si>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</si>
  <si>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</si>
  <si>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</si>
  <si>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</si>
  <si>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</si>
  <si>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</si>
  <si>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</si>
  <si>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</si>
  <si>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</si>
  <si>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</si>
  <si>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</si>
  <si>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</si>
  <si>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</si>
  <si>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</si>
  <si>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</si>
  <si>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فوق العاده ایثارگری قانون جامع</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</si>
  <si>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</si>
  <si>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</si>
  <si>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</si>
  <si>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</si>
  <si>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</si>
  <si>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</si>
  <si>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</si>
  <si>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</si>
  <si>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t>
  </si>
  <si>
    <t>نرخ اضافه کار (ریال)</t>
  </si>
  <si>
    <t>جمع تمامی آیتم های حقوق (ریال)</t>
  </si>
  <si>
    <t>نرخ ماموریت روزانه به همراه بیتوته (ریال)</t>
  </si>
  <si>
    <t>نرخ ماموریت روزانه بدون بیتوته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</si>
  <si>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</si>
  <si>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</si>
  <si>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</si>
  <si>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</si>
  <si>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</si>
  <si>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</si>
  <si>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</si>
  <si>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</si>
  <si>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</si>
  <si>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</si>
  <si>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</si>
  <si>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</si>
  <si>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</si>
  <si>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</si>
  <si>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</si>
  <si>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</si>
  <si>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</si>
  <si>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</si>
  <si>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</si>
  <si>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</si>
  <si>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</si>
  <si>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</si>
  <si>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</si>
  <si>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</si>
  <si>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</si>
  <si>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</si>
  <si>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</si>
  <si>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</si>
  <si>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</si>
  <si>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</si>
  <si>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</si>
  <si>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</si>
  <si>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</si>
  <si>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</si>
  <si>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</si>
  <si>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</si>
  <si>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</si>
  <si>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</si>
  <si>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</si>
  <si>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</si>
  <si>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</si>
  <si>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</si>
  <si>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</si>
  <si>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</si>
  <si>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</si>
  <si>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</si>
  <si>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امتیاز سرپرستی</t>
  </si>
  <si>
    <t>جزء مقامات سیاسی (موضوع ماده ۷۱ قانون مدیریت) هستید؟</t>
  </si>
  <si>
    <t>حق شغل (امتیاز)</t>
  </si>
  <si>
    <t>فوق العاده مدیریت (امتیاز)</t>
  </si>
  <si>
    <t>حق شاغل (امتیاز)</t>
  </si>
  <si>
    <t>فوق العاده شغل (امتیاز)</t>
  </si>
  <si>
    <t>فوق العاده ایثارگری (امتیاز)</t>
  </si>
  <si>
    <t>خدمت در مناطق جنگی (امتیاز)</t>
  </si>
  <si>
    <t>فوق العاده نشان های دولتی (امتیاز)</t>
  </si>
  <si>
    <t>فوق العاده سختی شرایط محیط کار (امتیاز)</t>
  </si>
  <si>
    <t>حق عائله مندی (امتیاز)</t>
  </si>
  <si>
    <t>حق اولاد (امتیاز)</t>
  </si>
  <si>
    <t>تفاوت بند (ی) تبصره (12) ق ب 98  (امتیاز)</t>
  </si>
  <si>
    <t>تفاوت جزء (1) بند (الف) تبصره (12) ق ب 97 (امتیاز)</t>
  </si>
  <si>
    <t>تفاوت تطبیق (ریال)</t>
  </si>
  <si>
    <t>فوق العاده ویژه (ریال)</t>
  </si>
  <si>
    <t>فوق العاده مناطق کمتر توسعه یافته (ریال)</t>
  </si>
  <si>
    <t>فوق العاده بدی آب و هوا (ریال)</t>
  </si>
  <si>
    <t>نوبت کاری (ریال)</t>
  </si>
  <si>
    <t>سایر (ریال)</t>
  </si>
  <si>
    <t>نکات قابل توجه :</t>
  </si>
  <si>
    <t>ضریب حقوق سال 1400</t>
  </si>
  <si>
    <t>حکم کارگزینی سال 1400</t>
  </si>
  <si>
    <t>سال 1400</t>
  </si>
  <si>
    <t>حق شاغل 1400</t>
  </si>
  <si>
    <t>حداقل حقوق سال 1399</t>
  </si>
  <si>
    <t>حداقل حقوق سال 1400</t>
  </si>
  <si>
    <t>جدول زیر مربوط به مشمولین ماده ۵۱ قانون جامع خدمات رسانی به ایثارگران است.</t>
  </si>
  <si>
    <t>ج ) فوق العاده مناطق کمتر توسعه یافته</t>
  </si>
  <si>
    <t>چ ) فوق العاده بدی آب و هوا</t>
  </si>
  <si>
    <t>ح ) فوق العاده ایثارگری</t>
  </si>
  <si>
    <t>خ ) فوق العاده ایثارگری قانون جامع</t>
  </si>
  <si>
    <t>د ) خدمت در مناطق جنگی</t>
  </si>
  <si>
    <t>ذ) فوق العاده نشان های دولتی</t>
  </si>
  <si>
    <t>ر ) فوق العاده سختی شرایط محیط کار</t>
  </si>
  <si>
    <t>ز ) حق عائله مندی</t>
  </si>
  <si>
    <t>س ) حق اولاد</t>
  </si>
  <si>
    <t>ش ) نوبت کاری</t>
  </si>
  <si>
    <t xml:space="preserve">ط ) تفاوت بند (ی) تبصره (12) ق ب 98 </t>
  </si>
  <si>
    <t>ظ ) تفاوت جزء (1) بند (الف) تبصره (12) ق ب 97</t>
  </si>
  <si>
    <t>ص ) تفاوت تطبیق موضوع جزء (۱) بند (الف) تبصره ۱۲</t>
  </si>
  <si>
    <t>درصد فوق العاده جذب هیات امناء</t>
  </si>
  <si>
    <t>فوق العاده جذب هیأت امناء</t>
  </si>
  <si>
    <t>ث ) فوق العاده جذب هیأت امناء</t>
  </si>
  <si>
    <t>جمع ایتمهای مشمول فوق العاده جذب هیأت امناء</t>
  </si>
  <si>
    <t>کمتر از 35 میلیون</t>
  </si>
  <si>
    <t>بیشتر از 25 میلیون</t>
  </si>
  <si>
    <t>جمع کمتر از 35 میلیون</t>
  </si>
  <si>
    <t>تفاضل بیش از 25 میلیون</t>
  </si>
  <si>
    <t>محاسبه مفدار بیشتر از 25</t>
  </si>
  <si>
    <t>بند جدید</t>
  </si>
  <si>
    <t>فوق العاده جذب هیأت امناء (ریال)</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</si>
  <si>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</si>
  <si>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</si>
  <si>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کارشناس  امور اداری و کارگزینی</t>
  </si>
  <si>
    <t>اینستاگرام (instagram)</t>
  </si>
  <si>
    <t>پست الکترونیکی (Email)</t>
  </si>
  <si>
    <t>تبصره ۱۲</t>
  </si>
  <si>
    <t>الف ـ</t>
  </si>
  <si>
    <t>۱- ضریب حقوق گروه‌های مختلف حقوق‌بگیر در ‌دستگاه‌های اجرائی موضوع ماده (۲۹) قانون برنامه ششم توسعه و همچنین نیروهای مسلح، وزارت اطلاعات و سازمان انرژی اتمی (به استثنای مشمولان قانون کار جمهوری اسلامی ایران) از قبیل کارکنان کشوری و لشکری، اعضای هیأت علمی دانشگاهها و مؤسسات آموزش عالی و پژوهشی و قضات که توسط دولت تعیین می‌گردد و همچنین افزایش حقوق بازنشستگان، وظیفه‌بگیران و مشترکان صندوق‌های بازنشستگی به نحوی اعمال گردد که در نهایت به‌میزان بیست و پنج درصد (۲۵%) براساس آخرین حکم کارگزینی سال ۱۳۹۹ افزایش یابد مشروط بر آنکه میزان افزایش حقوق هیچکس نسبت به سال ۱۳۹۹ از بیست و پنج میلیون (۲۵.۰۰۰.۰۰۰) ریال تجاوز نکند. تفاوت تطبیق موضوع ماده (۷۸) قانون مدیریت خدمات کشوری در حکم حقوق، بدون تغییر باقی می‌ماند.</t>
  </si>
  <si>
    <t>۲- در سال ۱۴۰۰ در کلیه ‌دستگاه‌های اجرائی موضوع ماده (۲۹) قانون برنامه ششم توسعه و همچنین نیروهای مسلح، وزارت اطلاعات و سازمان انرژی اتمی (به‌استثنای مشمولان قانون کار جمهوری اسلامی ایران)، حداقل حقوق و مزایای مستمر شاغلان مشمول قانون مدیریت خدمات کشوری و حداقل حقوق سایر حقوق بگیران، حداقل حقوق بازنشستگان و وظیفه‌بگیران مشمول صندوق‌ بازنشستگی کشوری و سازمان تأمین اجتماعی نیروهای مسلح و سایر صندوق‌های وابسته به ‌دستگاه‌های اجرائی و مستمری‌ها و سایر حمایت‌های متناسب با آنها، معادل افزایش ضریب ریالی افزایش می‌یابد.</t>
  </si>
  <si>
    <t>۳- پس از اعمال افزایش ضریب ریالی حقوق برای گروههای مختلف حقوق‌بگیر موضوع جزء (۱) این بند و معادل افزایش ضریب ریالی برای افزایش حقوق بازنشستگان و وظیفه بگیران، مجموع مبلغ مندرج در حکم کارگزینی برای کارکنان رسمی و پیمانی و مبلغ قرارداد منعقده ماهانه برای کارکنان قرارداد کارمعین (مشخص) و کارکنان طرح خدمت پزشکان و پیراپزشکان در وزارت بهداشت، درمان و آموزش پزشکی به نسبت مدت کارکرد و حکم حقوق بازنشستگان متناسب سنوات خدمت قابل قبول، از سی و پنج میلیون (۳۵.۰۰۰.۰۰۰) ریال کمتر نباشد.</t>
  </si>
  <si>
    <t>کاهش ناشی از اجرای جزء (1) بند (الف) تبصره (12) ماده واحده قانون بودجه سال 1400</t>
  </si>
  <si>
    <t>تفاوت تطبیق موضوع جزء (3) بند (الف) تبصره (12)</t>
  </si>
  <si>
    <t>ض ) سایر</t>
  </si>
  <si>
    <t>تفاوت جزء (1) بند (الف) تبصره (12) قانون بودجه 97</t>
  </si>
  <si>
    <t>تفاوت بند (ی) تبصره (12) قانون بودجه 98</t>
  </si>
  <si>
    <t>اعمال ضریب حقوق سال 1400
و امتیاز حق شاغل سال 1400</t>
  </si>
  <si>
    <t>جهت انجام درست محاسبات، ابتدا وضعیت استخدامی خود را از کشوی مربوطه انتخاب کنید.</t>
  </si>
  <si>
    <t>دانلود آخرین نسخه فایل اکسل</t>
  </si>
  <si>
    <t>لطفا به سوال زیر بصورت بلی یا خیر پاسخ دهید.</t>
  </si>
  <si>
    <t>لطفاً با دقت، مبالغ را مطابق با آخرین وضعیت سال 1400 خود وارد نمایید.</t>
  </si>
  <si>
    <t>لطفاً با دقت، امتیازات را مطابق با آخرین وضعیت سال 1400 خود وارد نمایید.</t>
  </si>
  <si>
    <t>ضریب حقوق سال 1401</t>
  </si>
  <si>
    <t>اطلاعات جدول زیر جهت محاسبه امتیاز حق شاغل سال 1401 می باشد.</t>
  </si>
  <si>
    <t>لطفا با دقت کامل و با توجه به آخرین حکم کارگزینی سال 1400، تنها در خانه های آبی رنگ جداول زیر ورود اطلاعات نمایید</t>
  </si>
  <si>
    <t>حکم کارگزینی سال 1401</t>
  </si>
  <si>
    <t>سال 1401</t>
  </si>
  <si>
    <t>سطح جایگاه (پست) سازمانی</t>
  </si>
  <si>
    <t>ساعات آموزش سال 1400</t>
  </si>
  <si>
    <t>وضعیت حکم کارگزینی (قرارداد)
سال 1401</t>
  </si>
  <si>
    <t>وضعیت حکم کارگزینی (قرارداد)
در سال 1400</t>
  </si>
  <si>
    <t>افزایش حقوق کارمندان رسمی، پیمانی و قرارداد انجام کار معین (مشخص) مشمول قانون مدیریت خدمات کشوری در سال 1401</t>
  </si>
  <si>
    <t>کارشناس  امور اداری و مدرس دوره های آموزش ضمن خدمت</t>
  </si>
  <si>
    <t>ع ) کاهش ناشی از اجرای جزء (1) بند (الف) تبصره (12) قانون بودجه 1400</t>
  </si>
  <si>
    <t>تفاوت تطبیق موضوع جزء (1) بند (الف) تبصره (12)</t>
  </si>
  <si>
    <t>مشمول فوق العاده ماده ۵۱  قانون جامع ایثارگران هستید؟ (بلی - خیر)</t>
  </si>
  <si>
    <t>کمتر از 30 سال سابقه خدمت دارید؟ (بلی - خیر)</t>
  </si>
  <si>
    <t>در سال 1401 ازدواج کرده و مشمول عائله مندی هستید؟ (بلی - خیر)</t>
  </si>
  <si>
    <t>تعداد فرزند متولد سال 1401 (ویژه مشمولین حق اولاد)</t>
  </si>
  <si>
    <t>اجرای جزء (12) بند (الف) تبصره (12) قانون بودجه سال 1401 در حکم کارگزینی</t>
  </si>
  <si>
    <t>با استناد به تصویبنامه شماره شماره ۲۱۴۸۷/ت۵۹۸۲۶هـ مورخ 1401/02/15 هیات محترم وزیران
(موضوع تعيين ضريب حقوق و ميزان افزايش  حقوق كاركنان در سال 1401)</t>
  </si>
  <si>
    <t>تجمیع تفاوت های جزء (1) بند (الف) 97 و تفاوت بند (ی) 98</t>
  </si>
  <si>
    <t>ظ ) تفاوت تطبیق موضوع جزء (1) بند (الف) تبصره (12)</t>
  </si>
  <si>
    <t>ص ) کاهش ناشی از اجرای جزء (1) بند (الف) تبصره (12) ق ب سال 1400</t>
  </si>
  <si>
    <t>ط ) تجمیع تفاوت های جزء (1) بند (الف) 97 و بند (ی) 98</t>
  </si>
  <si>
    <t>نسخه 3       1401/04/09</t>
  </si>
  <si>
    <t>تغییرات این نسخه بر اساس دستورالعمل شماره 23655 مورخ 07/04/1401 مشترک سازمان اداری و استخدامی و سازمان برنامه و بودجه انجام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</si>
</sst>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000401]0"/>
    <numFmt numFmtId="165" formatCode="0.0"/>
  </numFmts>
  <fonts count="60" x14ac:knownFonts="1">
    <font>
      <sz val="11"/>
      <color theme="1"/>
      <name val="Calibri"/>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Calibri"/>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Calibri"/>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u/>
      <sz val="12"/>
      <color theme="7" tint="-0.249977111117893"/>
      <name val="Calibri"/>
      <family val="2"/>
      <scheme val="minor"/>
    </font>
    <font>
      <b/>
      <sz val="12"/>
      <color theme="2" tint="-0.749992370372631"/>
      <name val="B Nazanin"/>
      <charset val="178"/>
    </font>
    <font>
      <u/>
      <sz val="10"/>
      <color theme="2" tint="-0.749992370372631"/>
      <name val="Calibri"/>
      <family val="2"/>
      <scheme val="minor"/>
    </font>
    <font>
      <b/>
      <sz val="12"/>
      <color rgb="FF7030A0"/>
      <name val="B Nazanin"/>
      <charset val="178"/>
    </font>
    <font>
      <u/>
      <sz val="10"/>
      <color theme="10"/>
      <name val="Calibri"/>
      <family val="2"/>
      <scheme val="minor"/>
    </font>
    <font>
      <u/>
      <sz val="10"/>
      <color theme="10"/>
      <name val="B Nazanin"/>
      <charset val="178"/>
    </font>
    <font>
      <sz val="11"/>
      <name val="Calibri"/>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1"/>
      <color theme="1"/>
      <name val="Calibri"/>
      <family val="2"/>
      <scheme val="minor"/>
    </font>
    <font>
      <b/>
      <sz val="11"/>
      <name val="B Mitra"/>
      <charset val="178"/>
    </font>
    <font>
      <sz val="11"/>
      <color rgb="FF002060"/>
      <name val="Calibri"/>
      <family val="2"/>
      <scheme val="minor"/>
    </font>
    <font>
      <b/>
      <sz val="10"/>
      <color theme="1"/>
      <name val="B Nazanin"/>
      <charset val="178"/>
    </font>
    <font>
      <b/>
      <sz val="14"/>
      <color theme="1"/>
      <name val="B Mitra"/>
      <charset val="178"/>
    </font>
    <font>
      <sz val="12"/>
      <color theme="8" tint="-0.499984740745262"/>
      <name val="B Nazanin"/>
      <charset val="178"/>
    </font>
    <font>
      <b/>
      <sz val="16"/>
      <color theme="8" tint="-0.499984740745262"/>
      <name val="B Roya"/>
      <charset val="178"/>
    </font>
    <font>
      <b/>
      <sz val="14"/>
      <color theme="8" tint="-0.499984740745262"/>
      <name val="B Mitra"/>
      <charset val="178"/>
    </font>
    <font>
      <b/>
      <sz val="11"/>
      <color theme="8" tint="-0.499984740745262"/>
      <name val="B Mitra"/>
      <charset val="178"/>
    </font>
    <font>
      <b/>
      <sz val="14"/>
      <color rgb="FF333333"/>
      <name val="Calibri"/>
      <family val="2"/>
      <scheme val="minor"/>
    </font>
    <font>
      <sz val="10"/>
      <color rgb="FF333333"/>
      <name val="Calibri"/>
      <family val="2"/>
      <scheme val="minor"/>
    </font>
    <font>
      <b/>
      <sz val="12"/>
      <name val="B Roya"/>
      <charset val="178"/>
    </font>
    <font>
      <b/>
      <sz val="16"/>
      <color theme="0"/>
      <name val="B Nazanin"/>
      <charset val="178"/>
    </font>
    <font>
      <sz val="12"/>
      <name val="B Nazanin"/>
      <charset val="178"/>
    </font>
    <font>
      <b/>
      <sz val="14"/>
      <color theme="0"/>
      <name val="B Nazanin"/>
      <charset val="178"/>
    </font>
    <font>
      <b/>
      <sz val="16"/>
      <color rgb="FFFF000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70C0"/>
        <bgColor indexed="64"/>
      </patternFill>
    </fill>
    <fill>
      <patternFill patternType="solid">
        <fgColor theme="8" tint="-0.249977111117893"/>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dashed">
        <color indexed="64"/>
      </right>
      <top style="dotted">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56">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Fill="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Border="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6"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Border="1" applyAlignment="1" applyProtection="1">
      <alignment vertical="center" shrinkToFit="1" readingOrder="2"/>
      <protection hidden="1"/>
    </xf>
    <xf numFmtId="2" fontId="2" fillId="2" borderId="57" xfId="0" applyNumberFormat="1" applyFont="1" applyFill="1" applyBorder="1" applyAlignment="1" applyProtection="1">
      <alignment vertical="top" shrinkToFit="1" readingOrder="2"/>
      <protection hidden="1"/>
    </xf>
    <xf numFmtId="2" fontId="2" fillId="2" borderId="29" xfId="0" applyNumberFormat="1" applyFont="1" applyFill="1" applyBorder="1" applyAlignment="1" applyProtection="1">
      <alignment vertical="top" shrinkToFit="1" readingOrder="2"/>
      <protection hidden="1"/>
    </xf>
    <xf numFmtId="16" fontId="0" fillId="2" borderId="0" xfId="0" applyNumberFormat="1" applyFill="1" applyProtection="1">
      <protection hidden="1"/>
    </xf>
    <xf numFmtId="0" fontId="0" fillId="2" borderId="0" xfId="0" quotePrefix="1" applyFill="1" applyProtection="1">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3" fontId="12" fillId="0" borderId="6" xfId="0" applyNumberFormat="1" applyFont="1" applyFill="1" applyBorder="1" applyAlignment="1" applyProtection="1">
      <alignment horizontal="center" vertical="center" shrinkToFit="1" readingOrder="2"/>
      <protection hidden="1"/>
    </xf>
    <xf numFmtId="1" fontId="12" fillId="0" borderId="7" xfId="0" applyNumberFormat="1" applyFont="1" applyFill="1" applyBorder="1" applyAlignment="1" applyProtection="1">
      <alignment horizontal="center" vertical="center" shrinkToFit="1" readingOrder="2"/>
      <protection hidden="1"/>
    </xf>
    <xf numFmtId="3" fontId="12" fillId="0" borderId="37" xfId="0" applyNumberFormat="1" applyFont="1" applyFill="1" applyBorder="1" applyAlignment="1" applyProtection="1">
      <alignment horizontal="center" vertical="center" shrinkToFit="1" readingOrder="2"/>
      <protection hidden="1"/>
    </xf>
    <xf numFmtId="1" fontId="12" fillId="0" borderId="21" xfId="0" applyNumberFormat="1" applyFont="1" applyFill="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0" fillId="0" borderId="0" xfId="0" applyFill="1" applyBorder="1" applyProtection="1">
      <protection hidden="1"/>
    </xf>
    <xf numFmtId="0" fontId="2" fillId="0" borderId="0" xfId="0" applyFont="1" applyProtection="1">
      <protection hidden="1"/>
    </xf>
    <xf numFmtId="0" fontId="11" fillId="5" borderId="13" xfId="0" applyFont="1" applyFill="1" applyBorder="1" applyAlignment="1" applyProtection="1">
      <alignment horizontal="center" vertical="center" shrinkToFit="1" readingOrder="2"/>
      <protection hidden="1"/>
    </xf>
    <xf numFmtId="0" fontId="36" fillId="22" borderId="18" xfId="0" applyFont="1" applyFill="1" applyBorder="1" applyAlignment="1" applyProtection="1">
      <alignment horizontal="center" vertical="center" shrinkToFit="1" readingOrder="2"/>
      <protection hidden="1"/>
    </xf>
    <xf numFmtId="0" fontId="36" fillId="22" borderId="41" xfId="0"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8"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52" xfId="0" applyFont="1" applyFill="1" applyBorder="1" applyAlignment="1" applyProtection="1">
      <alignment horizontal="center" vertical="center" shrinkToFit="1" readingOrder="2"/>
      <protection hidden="1"/>
    </xf>
    <xf numFmtId="0" fontId="1" fillId="8" borderId="46"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62" xfId="0" applyFont="1" applyFill="1" applyBorder="1" applyAlignment="1" applyProtection="1">
      <alignment vertical="center" shrinkToFit="1" readingOrder="2"/>
      <protection hidden="1"/>
    </xf>
    <xf numFmtId="0" fontId="46"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7" xfId="0" applyBorder="1" applyProtection="1">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7"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8"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6"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7"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4" fillId="4" borderId="7" xfId="0" applyNumberFormat="1" applyFont="1" applyFill="1" applyBorder="1" applyAlignment="1" applyProtection="1">
      <alignment horizontal="center" vertical="center"/>
      <protection hidden="1"/>
    </xf>
    <xf numFmtId="2" fontId="44" fillId="0" borderId="7" xfId="0" applyNumberFormat="1" applyFont="1" applyBorder="1" applyAlignment="1" applyProtection="1">
      <alignment horizontal="center" vertical="center"/>
      <protection hidden="1"/>
    </xf>
    <xf numFmtId="3" fontId="12" fillId="0" borderId="7" xfId="0" applyNumberFormat="1" applyFont="1" applyFill="1" applyBorder="1" applyAlignment="1" applyProtection="1">
      <alignment horizontal="center" vertical="center" shrinkToFit="1" readingOrder="2"/>
      <protection hidden="1"/>
    </xf>
    <xf numFmtId="0" fontId="1" fillId="0" borderId="0" xfId="0" applyFont="1" applyFill="1" applyBorder="1" applyAlignment="1" applyProtection="1">
      <alignment vertical="center" shrinkToFit="1" readingOrder="2"/>
      <protection hidden="1"/>
    </xf>
    <xf numFmtId="0" fontId="0" fillId="0" borderId="0" xfId="0" applyFont="1" applyFill="1" applyBorder="1" applyProtection="1">
      <protection hidden="1"/>
    </xf>
    <xf numFmtId="0" fontId="2" fillId="0" borderId="0" xfId="0" applyFont="1" applyFill="1" applyBorder="1" applyAlignment="1" applyProtection="1">
      <alignment vertical="center" readingOrder="2"/>
      <protection hidden="1"/>
    </xf>
    <xf numFmtId="0" fontId="0" fillId="0" borderId="0" xfId="0" applyFill="1" applyProtection="1">
      <protection hidden="1"/>
    </xf>
    <xf numFmtId="0" fontId="33" fillId="0" borderId="0" xfId="0" applyFont="1" applyFill="1" applyBorder="1" applyProtection="1">
      <protection hidden="1"/>
    </xf>
    <xf numFmtId="0" fontId="1" fillId="0" borderId="0" xfId="0" applyFont="1" applyFill="1" applyAlignment="1" applyProtection="1">
      <alignment horizontal="center" vertical="center" readingOrder="2"/>
      <protection hidden="1"/>
    </xf>
    <xf numFmtId="1" fontId="1" fillId="0" borderId="0" xfId="0" applyNumberFormat="1" applyFont="1" applyFill="1" applyAlignment="1" applyProtection="1">
      <alignment horizontal="center" vertical="center" readingOrder="2"/>
      <protection hidden="1"/>
    </xf>
    <xf numFmtId="1" fontId="8" fillId="3" borderId="2" xfId="0" applyNumberFormat="1" applyFont="1" applyFill="1" applyBorder="1" applyAlignment="1" applyProtection="1">
      <alignment horizontal="center" vertical="center" readingOrder="2"/>
      <protection hidden="1"/>
    </xf>
    <xf numFmtId="3" fontId="12" fillId="0" borderId="7" xfId="0" applyNumberFormat="1" applyFont="1" applyBorder="1" applyAlignment="1" applyProtection="1">
      <alignment horizontal="center" vertical="center" readingOrder="2"/>
      <protection hidden="1"/>
    </xf>
    <xf numFmtId="0" fontId="2" fillId="0" borderId="0" xfId="0" applyFont="1" applyFill="1" applyProtection="1">
      <protection hidden="1"/>
    </xf>
    <xf numFmtId="0" fontId="3" fillId="0" borderId="0" xfId="0" applyFont="1" applyFill="1" applyAlignment="1" applyProtection="1">
      <alignment shrinkToFit="1"/>
      <protection hidden="1"/>
    </xf>
    <xf numFmtId="0" fontId="2" fillId="0" borderId="0" xfId="0" applyFont="1" applyFill="1" applyAlignment="1" applyProtection="1">
      <alignment shrinkToFit="1"/>
      <protection hidden="1"/>
    </xf>
    <xf numFmtId="0" fontId="26" fillId="0" borderId="0" xfId="0" applyFont="1" applyFill="1" applyBorder="1" applyAlignment="1" applyProtection="1">
      <alignment vertical="center"/>
      <protection hidden="1"/>
    </xf>
    <xf numFmtId="0" fontId="27" fillId="0" borderId="0" xfId="1" applyFont="1" applyFill="1" applyBorder="1" applyAlignment="1" applyProtection="1">
      <alignment vertical="center"/>
      <protection hidden="1"/>
    </xf>
    <xf numFmtId="0" fontId="0" fillId="0" borderId="0" xfId="0" applyFill="1" applyAlignment="1" applyProtection="1">
      <alignment shrinkToFit="1"/>
      <protection hidden="1"/>
    </xf>
    <xf numFmtId="0" fontId="3" fillId="22" borderId="7" xfId="0" applyFont="1" applyFill="1" applyBorder="1" applyAlignment="1" applyProtection="1">
      <alignment horizontal="center" vertical="center" shrinkToFit="1" readingOrder="2"/>
      <protection hidden="1"/>
    </xf>
    <xf numFmtId="2" fontId="2" fillId="2" borderId="0" xfId="0" applyNumberFormat="1" applyFont="1" applyFill="1" applyBorder="1" applyAlignment="1" applyProtection="1">
      <alignment vertical="top" shrinkToFit="1" readingOrder="2"/>
      <protection hidden="1"/>
    </xf>
    <xf numFmtId="3" fontId="12" fillId="0" borderId="7" xfId="0" applyNumberFormat="1" applyFont="1" applyFill="1" applyBorder="1" applyAlignment="1" applyProtection="1">
      <alignment horizontal="center" vertical="center" shrinkToFit="1" readingOrder="1"/>
      <protection hidden="1"/>
    </xf>
    <xf numFmtId="164" fontId="11" fillId="11" borderId="7" xfId="0" applyNumberFormat="1" applyFont="1" applyFill="1" applyBorder="1" applyAlignment="1" applyProtection="1">
      <alignment horizontal="center" vertical="center" shrinkToFit="1"/>
      <protection locked="0" hidden="1"/>
    </xf>
    <xf numFmtId="1" fontId="1" fillId="11" borderId="7" xfId="0" applyNumberFormat="1" applyFont="1" applyFill="1" applyBorder="1" applyAlignment="1" applyProtection="1">
      <alignment horizontal="center" vertical="center" shrinkToFit="1" readingOrder="2"/>
      <protection locked="0" hidden="1"/>
    </xf>
    <xf numFmtId="164" fontId="1" fillId="11" borderId="7" xfId="0" applyNumberFormat="1" applyFont="1" applyFill="1" applyBorder="1" applyAlignment="1" applyProtection="1">
      <alignment horizontal="center" vertical="center" shrinkToFit="1" readingOrder="2"/>
      <protection locked="0" hidden="1"/>
    </xf>
    <xf numFmtId="3" fontId="11" fillId="11" borderId="7" xfId="0" applyNumberFormat="1" applyFont="1" applyFill="1" applyBorder="1" applyAlignment="1" applyProtection="1">
      <alignment horizontal="center" vertical="center" shrinkToFit="1"/>
      <protection locked="0" hidden="1"/>
    </xf>
    <xf numFmtId="0" fontId="48" fillId="3" borderId="7" xfId="0" applyFont="1" applyFill="1" applyBorder="1" applyAlignment="1" applyProtection="1">
      <alignment horizontal="center" vertical="center"/>
      <protection hidden="1"/>
    </xf>
    <xf numFmtId="0" fontId="38" fillId="7" borderId="7" xfId="0" applyFont="1" applyFill="1" applyBorder="1" applyAlignment="1" applyProtection="1">
      <alignment horizontal="center" vertical="center" shrinkToFit="1" readingOrder="2"/>
      <protection hidden="1"/>
    </xf>
    <xf numFmtId="1" fontId="45" fillId="5" borderId="7" xfId="0" applyNumberFormat="1" applyFont="1" applyFill="1" applyBorder="1" applyAlignment="1" applyProtection="1">
      <alignment horizontal="center" vertical="center" shrinkToFit="1" readingOrder="2"/>
      <protection hidden="1"/>
    </xf>
    <xf numFmtId="0" fontId="3" fillId="25" borderId="7" xfId="0" applyFont="1" applyFill="1" applyBorder="1" applyAlignment="1" applyProtection="1">
      <alignment horizontal="center" vertical="center" shrinkToFit="1" readingOrder="2"/>
      <protection hidden="1"/>
    </xf>
    <xf numFmtId="0" fontId="18" fillId="7" borderId="19" xfId="0" applyFont="1" applyFill="1" applyBorder="1" applyAlignment="1" applyProtection="1">
      <alignment horizontal="center" vertical="center" shrinkToFit="1" readingOrder="2"/>
      <protection hidden="1"/>
    </xf>
    <xf numFmtId="0" fontId="18" fillId="7" borderId="71" xfId="0" applyFont="1" applyFill="1" applyBorder="1" applyAlignment="1" applyProtection="1">
      <alignment horizontal="center" vertical="center" shrinkToFit="1" readingOrder="2"/>
      <protection hidden="1"/>
    </xf>
    <xf numFmtId="0" fontId="18" fillId="7" borderId="20" xfId="0" applyFont="1" applyFill="1" applyBorder="1" applyAlignment="1" applyProtection="1">
      <alignment horizontal="center" vertical="center" shrinkToFit="1" readingOrder="2"/>
      <protection hidden="1"/>
    </xf>
    <xf numFmtId="0" fontId="18" fillId="7" borderId="65" xfId="0" applyFont="1" applyFill="1" applyBorder="1" applyAlignment="1" applyProtection="1">
      <alignment horizontal="center" vertical="center" shrinkToFit="1" readingOrder="2"/>
      <protection hidden="1"/>
    </xf>
    <xf numFmtId="164" fontId="11" fillId="24" borderId="7" xfId="0" applyNumberFormat="1" applyFont="1" applyFill="1" applyBorder="1" applyAlignment="1" applyProtection="1">
      <alignment horizontal="center"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53" fillId="0" borderId="7" xfId="0" applyFont="1" applyBorder="1" applyAlignment="1">
      <alignment horizontal="center" vertical="center" wrapText="1" readingOrder="2"/>
    </xf>
    <xf numFmtId="0" fontId="54" fillId="0" borderId="7" xfId="0" applyFont="1" applyBorder="1" applyAlignment="1">
      <alignment horizontal="center" vertical="center" wrapText="1" readingOrder="2"/>
    </xf>
    <xf numFmtId="3" fontId="11" fillId="8" borderId="64" xfId="0" applyNumberFormat="1" applyFont="1" applyFill="1" applyBorder="1" applyAlignment="1" applyProtection="1">
      <alignment horizontal="center" vertical="center" shrinkToFit="1" readingOrder="1"/>
      <protection hidden="1"/>
    </xf>
    <xf numFmtId="1" fontId="11" fillId="0" borderId="67" xfId="0" applyNumberFormat="1" applyFont="1" applyFill="1" applyBorder="1" applyAlignment="1" applyProtection="1">
      <alignment horizontal="center" vertical="center" shrinkToFit="1" readingOrder="2"/>
      <protection hidden="1"/>
    </xf>
    <xf numFmtId="3" fontId="11" fillId="0" borderId="66" xfId="0" applyNumberFormat="1" applyFont="1" applyFill="1" applyBorder="1" applyAlignment="1" applyProtection="1">
      <alignment horizontal="center" vertical="center" shrinkToFit="1" readingOrder="2"/>
      <protection hidden="1"/>
    </xf>
    <xf numFmtId="1" fontId="11" fillId="2" borderId="67" xfId="0" applyNumberFormat="1" applyFont="1" applyFill="1" applyBorder="1" applyAlignment="1" applyProtection="1">
      <alignment horizontal="center" vertical="center" shrinkToFit="1" readingOrder="2"/>
      <protection hidden="1"/>
    </xf>
    <xf numFmtId="3" fontId="11" fillId="2" borderId="66" xfId="0" applyNumberFormat="1" applyFont="1" applyFill="1" applyBorder="1" applyAlignment="1" applyProtection="1">
      <alignment horizontal="center" vertical="center" shrinkToFit="1" readingOrder="2"/>
      <protection hidden="1"/>
    </xf>
    <xf numFmtId="1" fontId="11" fillId="8" borderId="68" xfId="0" applyNumberFormat="1" applyFont="1" applyFill="1" applyBorder="1" applyAlignment="1" applyProtection="1">
      <alignment horizontal="center" vertical="center" shrinkToFit="1" readingOrder="2"/>
      <protection hidden="1"/>
    </xf>
    <xf numFmtId="3" fontId="11" fillId="8" borderId="64" xfId="0" applyNumberFormat="1" applyFont="1" applyFill="1" applyBorder="1" applyAlignment="1" applyProtection="1">
      <alignment horizontal="center" vertical="center" shrinkToFit="1" readingOrder="2"/>
      <protection hidden="1"/>
    </xf>
    <xf numFmtId="1" fontId="11" fillId="0" borderId="69" xfId="0" applyNumberFormat="1" applyFont="1" applyFill="1" applyBorder="1" applyAlignment="1" applyProtection="1">
      <alignment horizontal="center" vertical="center" shrinkToFit="1" readingOrder="2"/>
      <protection hidden="1"/>
    </xf>
    <xf numFmtId="3" fontId="11" fillId="0" borderId="26" xfId="0" applyNumberFormat="1" applyFont="1" applyFill="1" applyBorder="1" applyAlignment="1" applyProtection="1">
      <alignment horizontal="center" vertical="center" shrinkToFit="1" readingOrder="2"/>
      <protection hidden="1"/>
    </xf>
    <xf numFmtId="3" fontId="11" fillId="2" borderId="26" xfId="0" applyNumberFormat="1" applyFont="1" applyFill="1" applyBorder="1" applyAlignment="1" applyProtection="1">
      <alignment horizontal="center" vertical="center" shrinkToFit="1" readingOrder="2"/>
      <protection hidden="1"/>
    </xf>
    <xf numFmtId="1" fontId="11" fillId="6" borderId="65" xfId="0" applyNumberFormat="1" applyFont="1" applyFill="1" applyBorder="1" applyAlignment="1" applyProtection="1">
      <alignment horizontal="center" vertical="center" shrinkToFit="1" readingOrder="2"/>
      <protection hidden="1"/>
    </xf>
    <xf numFmtId="3" fontId="11" fillId="6" borderId="20" xfId="0" applyNumberFormat="1" applyFont="1" applyFill="1" applyBorder="1" applyAlignment="1" applyProtection="1">
      <alignment horizontal="center" vertical="center" shrinkToFit="1" readingOrder="2"/>
      <protection hidden="1"/>
    </xf>
    <xf numFmtId="1" fontId="11" fillId="0" borderId="70" xfId="0" applyNumberFormat="1" applyFont="1" applyFill="1" applyBorder="1" applyAlignment="1" applyProtection="1">
      <alignment horizontal="center" vertical="center" shrinkToFit="1" readingOrder="2"/>
      <protection hidden="1"/>
    </xf>
    <xf numFmtId="3" fontId="11" fillId="0" borderId="29" xfId="0" applyNumberFormat="1" applyFont="1" applyFill="1" applyBorder="1" applyAlignment="1" applyProtection="1">
      <alignment horizontal="center" vertical="center" shrinkToFit="1" readingOrder="2"/>
      <protection hidden="1"/>
    </xf>
    <xf numFmtId="1" fontId="11" fillId="0" borderId="68" xfId="0" applyNumberFormat="1" applyFont="1" applyFill="1" applyBorder="1" applyAlignment="1" applyProtection="1">
      <alignment horizontal="center" vertical="center" shrinkToFit="1" readingOrder="2"/>
      <protection hidden="1"/>
    </xf>
    <xf numFmtId="3" fontId="11" fillId="0" borderId="64" xfId="0" applyNumberFormat="1" applyFont="1" applyFill="1" applyBorder="1" applyAlignment="1" applyProtection="1">
      <alignment horizontal="center" vertical="center" shrinkToFit="1" readingOrder="2"/>
      <protection hidden="1"/>
    </xf>
    <xf numFmtId="1" fontId="11" fillId="7" borderId="65" xfId="0" applyNumberFormat="1" applyFont="1" applyFill="1" applyBorder="1" applyAlignment="1" applyProtection="1">
      <alignment horizontal="center" vertical="center" shrinkToFit="1" readingOrder="2"/>
      <protection hidden="1"/>
    </xf>
    <xf numFmtId="3" fontId="11" fillId="7" borderId="20"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1"/>
      <protection hidden="1"/>
    </xf>
    <xf numFmtId="3" fontId="11" fillId="22" borderId="7" xfId="0" applyNumberFormat="1" applyFont="1" applyFill="1" applyBorder="1" applyAlignment="1" applyProtection="1">
      <alignment horizontal="center" vertical="center" shrinkToFit="1" readingOrder="2"/>
      <protection hidden="1"/>
    </xf>
    <xf numFmtId="1" fontId="0" fillId="0" borderId="0" xfId="0" applyNumberFormat="1" applyAlignment="1" applyProtection="1">
      <alignment horizontal="center" vertical="center"/>
      <protection hidden="1"/>
    </xf>
    <xf numFmtId="1" fontId="1" fillId="0" borderId="64" xfId="0" applyNumberFormat="1" applyFont="1" applyFill="1" applyBorder="1" applyAlignment="1" applyProtection="1">
      <alignment horizontal="center" vertical="center" shrinkToFit="1" readingOrder="2"/>
      <protection hidden="1"/>
    </xf>
    <xf numFmtId="1" fontId="1" fillId="8" borderId="64" xfId="0" applyNumberFormat="1" applyFont="1" applyFill="1" applyBorder="1" applyAlignment="1" applyProtection="1">
      <alignment horizontal="center" vertical="center" shrinkToFit="1" readingOrder="2"/>
      <protection hidden="1"/>
    </xf>
    <xf numFmtId="0" fontId="1" fillId="0" borderId="64" xfId="0" applyFont="1" applyFill="1" applyBorder="1" applyAlignment="1" applyProtection="1">
      <alignment horizontal="center" vertical="center" shrinkToFit="1" readingOrder="2"/>
      <protection hidden="1"/>
    </xf>
    <xf numFmtId="0" fontId="1" fillId="8" borderId="64" xfId="0" applyFont="1" applyFill="1" applyBorder="1" applyAlignment="1" applyProtection="1">
      <alignment horizontal="center" vertical="center" shrinkToFit="1" readingOrder="2"/>
      <protection hidden="1"/>
    </xf>
    <xf numFmtId="1" fontId="1" fillId="0" borderId="7" xfId="0" applyNumberFormat="1" applyFont="1" applyBorder="1" applyAlignment="1" applyProtection="1">
      <alignment horizontal="center" vertical="center"/>
      <protection hidden="1"/>
    </xf>
    <xf numFmtId="0" fontId="56" fillId="26" borderId="7" xfId="0" applyFont="1" applyFill="1" applyBorder="1" applyAlignment="1" applyProtection="1">
      <alignment horizontal="center" shrinkToFit="1"/>
      <protection hidden="1"/>
    </xf>
    <xf numFmtId="3" fontId="39" fillId="0" borderId="73" xfId="0" applyNumberFormat="1" applyFont="1" applyFill="1" applyBorder="1" applyAlignment="1" applyProtection="1">
      <alignment horizontal="center" vertical="center" shrinkToFit="1" readingOrder="1"/>
      <protection hidden="1"/>
    </xf>
    <xf numFmtId="3" fontId="55" fillId="0" borderId="73" xfId="0" applyNumberFormat="1" applyFont="1" applyFill="1" applyBorder="1" applyAlignment="1" applyProtection="1">
      <alignment horizontal="center" vertical="center" shrinkToFit="1" readingOrder="1"/>
      <protection hidden="1"/>
    </xf>
    <xf numFmtId="3" fontId="39" fillId="11" borderId="74" xfId="0" applyNumberFormat="1" applyFont="1" applyFill="1" applyBorder="1" applyAlignment="1" applyProtection="1">
      <alignment horizontal="center" vertical="center" shrinkToFit="1" readingOrder="1"/>
      <protection hidden="1"/>
    </xf>
    <xf numFmtId="3" fontId="39" fillId="0" borderId="74" xfId="0" applyNumberFormat="1" applyFont="1" applyFill="1" applyBorder="1" applyAlignment="1" applyProtection="1">
      <alignment horizontal="center" vertical="center" shrinkToFit="1" readingOrder="1"/>
      <protection hidden="1"/>
    </xf>
    <xf numFmtId="3" fontId="39" fillId="11" borderId="81" xfId="0" applyNumberFormat="1" applyFont="1" applyFill="1" applyBorder="1" applyAlignment="1" applyProtection="1">
      <alignment horizontal="center" vertical="center" shrinkToFit="1" readingOrder="1"/>
      <protection hidden="1"/>
    </xf>
    <xf numFmtId="0" fontId="58" fillId="27" borderId="7" xfId="0" applyFont="1" applyFill="1" applyBorder="1" applyAlignment="1" applyProtection="1">
      <alignment horizontal="center" vertical="center" shrinkToFit="1" readingOrder="2"/>
      <protection hidden="1"/>
    </xf>
    <xf numFmtId="0" fontId="0" fillId="0" borderId="7" xfId="0" applyBorder="1" applyAlignment="1">
      <alignment horizontal="center" vertical="center"/>
    </xf>
    <xf numFmtId="0" fontId="50" fillId="24" borderId="63" xfId="0" applyFont="1" applyFill="1" applyBorder="1" applyAlignment="1" applyProtection="1">
      <alignment horizontal="center" vertical="center" shrinkToFit="1"/>
      <protection hidden="1"/>
    </xf>
    <xf numFmtId="0" fontId="51" fillId="2" borderId="0" xfId="0" applyFont="1" applyFill="1" applyBorder="1" applyAlignment="1" applyProtection="1">
      <alignment horizontal="center" shrinkToFit="1"/>
      <protection hidden="1"/>
    </xf>
    <xf numFmtId="0" fontId="51" fillId="2" borderId="0" xfId="0" applyFont="1" applyFill="1" applyBorder="1" applyAlignment="1" applyProtection="1">
      <alignment horizontal="center" vertical="top" shrinkToFit="1"/>
      <protection hidden="1"/>
    </xf>
    <xf numFmtId="0" fontId="50" fillId="11" borderId="63" xfId="0" applyFont="1" applyFill="1" applyBorder="1" applyAlignment="1" applyProtection="1">
      <alignment horizontal="center" vertical="center" shrinkToFit="1"/>
      <protection hidden="1"/>
    </xf>
    <xf numFmtId="0" fontId="11" fillId="2" borderId="0" xfId="0" applyFont="1" applyFill="1" applyBorder="1" applyAlignment="1" applyProtection="1">
      <alignment vertical="center"/>
      <protection hidden="1"/>
    </xf>
    <xf numFmtId="0" fontId="47" fillId="2" borderId="0" xfId="0" applyFont="1" applyFill="1" applyBorder="1" applyAlignment="1" applyProtection="1">
      <alignment vertical="center" shrinkToFit="1" readingOrder="2"/>
      <protection hidden="1"/>
    </xf>
    <xf numFmtId="0" fontId="1" fillId="2" borderId="0" xfId="0" applyFont="1" applyFill="1" applyBorder="1" applyProtection="1">
      <protection hidden="1"/>
    </xf>
    <xf numFmtId="0" fontId="0" fillId="2" borderId="0" xfId="0" applyFill="1" applyBorder="1" applyProtection="1">
      <protection hidden="1"/>
    </xf>
    <xf numFmtId="1" fontId="11" fillId="3" borderId="68" xfId="0" applyNumberFormat="1" applyFont="1" applyFill="1" applyBorder="1" applyAlignment="1" applyProtection="1">
      <alignment horizontal="center" vertical="center" shrinkToFit="1" readingOrder="2"/>
      <protection hidden="1"/>
    </xf>
    <xf numFmtId="3" fontId="59" fillId="3" borderId="47" xfId="0" applyNumberFormat="1" applyFont="1" applyFill="1" applyBorder="1" applyAlignment="1" applyProtection="1">
      <alignment horizontal="center"/>
      <protection hidden="1"/>
    </xf>
    <xf numFmtId="165" fontId="39" fillId="0" borderId="66" xfId="0" applyNumberFormat="1" applyFont="1" applyFill="1" applyBorder="1" applyAlignment="1" applyProtection="1">
      <alignment horizontal="center" vertical="center" shrinkToFit="1" readingOrder="1"/>
      <protection hidden="1"/>
    </xf>
    <xf numFmtId="165" fontId="39" fillId="11" borderId="64" xfId="0" applyNumberFormat="1" applyFont="1" applyFill="1" applyBorder="1" applyAlignment="1" applyProtection="1">
      <alignment horizontal="center" vertical="center" shrinkToFit="1" readingOrder="1"/>
      <protection hidden="1"/>
    </xf>
    <xf numFmtId="165" fontId="39" fillId="0" borderId="64" xfId="0" applyNumberFormat="1" applyFont="1" applyFill="1" applyBorder="1" applyAlignment="1" applyProtection="1">
      <alignment horizontal="center" vertical="center" shrinkToFit="1" readingOrder="1"/>
      <protection hidden="1"/>
    </xf>
    <xf numFmtId="165" fontId="39" fillId="11" borderId="72" xfId="0" applyNumberFormat="1" applyFont="1" applyFill="1" applyBorder="1" applyAlignment="1" applyProtection="1">
      <alignment horizontal="center" vertical="center" shrinkToFit="1" readingOrder="1"/>
      <protection hidden="1"/>
    </xf>
    <xf numFmtId="0" fontId="57" fillId="0" borderId="24" xfId="0" applyFont="1" applyFill="1" applyBorder="1" applyAlignment="1" applyProtection="1">
      <alignment shrinkToFit="1" readingOrder="2"/>
      <protection hidden="1"/>
    </xf>
    <xf numFmtId="0" fontId="1" fillId="0" borderId="0" xfId="0" applyFont="1" applyFill="1" applyAlignment="1" applyProtection="1">
      <alignment horizontal="right" vertical="center" shrinkToFit="1"/>
      <protection hidden="1"/>
    </xf>
    <xf numFmtId="0" fontId="49" fillId="0" borderId="0" xfId="0" applyFont="1" applyFill="1" applyBorder="1" applyAlignment="1" applyProtection="1">
      <alignment horizontal="center" shrinkToFit="1"/>
      <protection hidden="1"/>
    </xf>
    <xf numFmtId="0" fontId="20" fillId="0" borderId="0" xfId="0" applyFont="1" applyFill="1" applyAlignment="1" applyProtection="1">
      <alignment horizontal="center" vertical="center" shrinkToFit="1"/>
      <protection hidden="1"/>
    </xf>
    <xf numFmtId="0" fontId="34" fillId="0" borderId="0" xfId="0" applyFont="1" applyFill="1" applyAlignment="1" applyProtection="1">
      <alignment horizontal="center" vertical="center" wrapText="1" shrinkToFit="1"/>
      <protection hidden="1"/>
    </xf>
    <xf numFmtId="0" fontId="34" fillId="0" borderId="0" xfId="0" applyFont="1" applyFill="1" applyAlignment="1" applyProtection="1">
      <alignment horizontal="center" vertical="center" shrinkToFit="1"/>
      <protection hidden="1"/>
    </xf>
    <xf numFmtId="0" fontId="35" fillId="0" borderId="0" xfId="0" applyFont="1" applyFill="1" applyAlignment="1" applyProtection="1">
      <alignment horizontal="center" vertical="center" shrinkToFit="1"/>
      <protection hidden="1"/>
    </xf>
    <xf numFmtId="0" fontId="50" fillId="21" borderId="63" xfId="0" applyFont="1" applyFill="1" applyBorder="1" applyAlignment="1" applyProtection="1">
      <alignment horizontal="center" vertical="center" shrinkToFit="1"/>
      <protection hidden="1"/>
    </xf>
    <xf numFmtId="0" fontId="50" fillId="24" borderId="63" xfId="0" applyFont="1" applyFill="1" applyBorder="1" applyAlignment="1" applyProtection="1">
      <alignment horizontal="center" vertical="center" shrinkToFit="1"/>
      <protection hidden="1"/>
    </xf>
    <xf numFmtId="0" fontId="51" fillId="2" borderId="0" xfId="0" applyFont="1" applyFill="1" applyBorder="1" applyAlignment="1" applyProtection="1">
      <alignment horizontal="center" shrinkToFit="1"/>
      <protection hidden="1"/>
    </xf>
    <xf numFmtId="0" fontId="51" fillId="2" borderId="0" xfId="0" applyFont="1" applyFill="1" applyBorder="1" applyAlignment="1" applyProtection="1">
      <alignment horizontal="center" vertical="top" shrinkToFit="1"/>
      <protection hidden="1"/>
    </xf>
    <xf numFmtId="0" fontId="50" fillId="11" borderId="63" xfId="0" applyFont="1" applyFill="1" applyBorder="1" applyAlignment="1" applyProtection="1">
      <alignment horizontal="center" vertical="center" shrinkToFit="1"/>
      <protection hidden="1"/>
    </xf>
    <xf numFmtId="0" fontId="47" fillId="2" borderId="0" xfId="0" applyFont="1" applyFill="1" applyBorder="1" applyAlignment="1" applyProtection="1">
      <alignment horizontal="right" vertical="center" shrinkToFit="1" readingOrder="2"/>
      <protection hidden="1"/>
    </xf>
    <xf numFmtId="0" fontId="12" fillId="6" borderId="7" xfId="0" applyFont="1" applyFill="1" applyBorder="1" applyAlignment="1" applyProtection="1">
      <alignment horizontal="center" vertical="center" shrinkToFit="1" readingOrder="2"/>
      <protection hidden="1"/>
    </xf>
    <xf numFmtId="0" fontId="1" fillId="0" borderId="76" xfId="0" applyFont="1" applyFill="1" applyBorder="1" applyAlignment="1" applyProtection="1">
      <alignment horizontal="center" vertical="center" shrinkToFit="1" readingOrder="2"/>
      <protection hidden="1"/>
    </xf>
    <xf numFmtId="0" fontId="1" fillId="0" borderId="79" xfId="0" applyFont="1" applyFill="1" applyBorder="1" applyAlignment="1" applyProtection="1">
      <alignment horizontal="center" vertical="center" shrinkToFit="1" readingOrder="2"/>
      <protection hidden="1"/>
    </xf>
    <xf numFmtId="0" fontId="1" fillId="0" borderId="74" xfId="0" applyFont="1" applyFill="1" applyBorder="1" applyAlignment="1" applyProtection="1">
      <alignment horizontal="center" vertical="center" shrinkToFit="1" readingOrder="2"/>
      <protection hidden="1"/>
    </xf>
    <xf numFmtId="0" fontId="1" fillId="11" borderId="76" xfId="0" applyFont="1" applyFill="1" applyBorder="1" applyAlignment="1" applyProtection="1">
      <alignment horizontal="center" vertical="center" shrinkToFit="1" readingOrder="2"/>
      <protection hidden="1"/>
    </xf>
    <xf numFmtId="0" fontId="1" fillId="11" borderId="79" xfId="0" applyFont="1" applyFill="1" applyBorder="1" applyAlignment="1" applyProtection="1">
      <alignment horizontal="center" vertical="center" shrinkToFit="1" readingOrder="2"/>
      <protection hidden="1"/>
    </xf>
    <xf numFmtId="0" fontId="1" fillId="11" borderId="74" xfId="0" applyFont="1" applyFill="1" applyBorder="1" applyAlignment="1" applyProtection="1">
      <alignment horizontal="center" vertical="center" shrinkToFit="1" readingOrder="2"/>
      <protection hidden="1"/>
    </xf>
    <xf numFmtId="0" fontId="1" fillId="11" borderId="77" xfId="0" applyFont="1" applyFill="1" applyBorder="1" applyAlignment="1" applyProtection="1">
      <alignment horizontal="center" vertical="center" shrinkToFit="1" readingOrder="2"/>
      <protection hidden="1"/>
    </xf>
    <xf numFmtId="0" fontId="1" fillId="11" borderId="80" xfId="0" applyFont="1" applyFill="1" applyBorder="1" applyAlignment="1" applyProtection="1">
      <alignment horizontal="center" vertical="center" shrinkToFit="1" readingOrder="2"/>
      <protection hidden="1"/>
    </xf>
    <xf numFmtId="0" fontId="1" fillId="11" borderId="81" xfId="0" applyFont="1" applyFill="1" applyBorder="1" applyAlignment="1" applyProtection="1">
      <alignment horizontal="center" vertical="center" shrinkToFit="1" readingOrder="2"/>
      <protection hidden="1"/>
    </xf>
    <xf numFmtId="0" fontId="18" fillId="7" borderId="7" xfId="0" applyFont="1" applyFill="1" applyBorder="1" applyAlignment="1" applyProtection="1">
      <alignment horizontal="center" vertical="center" wrapText="1" shrinkToFit="1"/>
      <protection hidden="1"/>
    </xf>
    <xf numFmtId="0" fontId="18" fillId="7" borderId="7" xfId="0" applyFont="1" applyFill="1" applyBorder="1" applyAlignment="1" applyProtection="1">
      <alignment horizontal="center" vertical="center" shrinkToFit="1"/>
      <protection hidden="1"/>
    </xf>
    <xf numFmtId="0" fontId="18" fillId="7" borderId="23" xfId="0" applyFont="1" applyFill="1" applyBorder="1" applyAlignment="1" applyProtection="1">
      <alignment horizontal="center" vertical="center" shrinkToFit="1" readingOrder="2"/>
      <protection hidden="1"/>
    </xf>
    <xf numFmtId="0" fontId="18" fillId="7" borderId="24" xfId="0" applyFont="1" applyFill="1" applyBorder="1" applyAlignment="1" applyProtection="1">
      <alignment horizontal="center" vertical="center" shrinkToFit="1" readingOrder="2"/>
      <protection hidden="1"/>
    </xf>
    <xf numFmtId="0" fontId="18" fillId="7" borderId="27" xfId="0" applyFont="1" applyFill="1" applyBorder="1" applyAlignment="1" applyProtection="1">
      <alignment horizontal="center" vertical="center" shrinkToFit="1" readingOrder="2"/>
      <protection hidden="1"/>
    </xf>
    <xf numFmtId="0" fontId="18" fillId="7" borderId="30" xfId="0" applyFont="1" applyFill="1" applyBorder="1" applyAlignment="1" applyProtection="1">
      <alignment horizontal="center" vertical="center" shrinkToFit="1" readingOrder="2"/>
      <protection hidden="1"/>
    </xf>
    <xf numFmtId="0" fontId="18" fillId="7" borderId="25" xfId="0" applyFont="1" applyFill="1" applyBorder="1" applyAlignment="1" applyProtection="1">
      <alignment horizontal="center" vertical="center" shrinkToFit="1" readingOrder="2"/>
      <protection hidden="1"/>
    </xf>
    <xf numFmtId="0" fontId="18" fillId="7" borderId="26" xfId="0" applyFont="1" applyFill="1" applyBorder="1" applyAlignment="1" applyProtection="1">
      <alignment horizontal="center" vertical="center" shrinkToFit="1" readingOrder="2"/>
      <protection hidden="1"/>
    </xf>
    <xf numFmtId="0" fontId="12" fillId="0" borderId="75" xfId="0" applyFont="1" applyFill="1" applyBorder="1" applyAlignment="1" applyProtection="1">
      <alignment horizontal="center" vertical="center" shrinkToFit="1" readingOrder="2"/>
      <protection hidden="1"/>
    </xf>
    <xf numFmtId="0" fontId="12" fillId="0" borderId="66" xfId="0" applyFont="1" applyFill="1" applyBorder="1" applyAlignment="1" applyProtection="1">
      <alignment horizontal="center" vertical="center" shrinkToFit="1" readingOrder="2"/>
      <protection hidden="1"/>
    </xf>
    <xf numFmtId="0" fontId="12" fillId="8" borderId="76" xfId="0" applyFont="1" applyFill="1" applyBorder="1" applyAlignment="1" applyProtection="1">
      <alignment horizontal="center" vertical="center" shrinkToFit="1" readingOrder="2"/>
      <protection hidden="1"/>
    </xf>
    <xf numFmtId="0" fontId="12" fillId="8" borderId="64" xfId="0" applyFont="1" applyFill="1" applyBorder="1" applyAlignment="1" applyProtection="1">
      <alignment horizontal="center" vertical="center" shrinkToFit="1" readingOrder="2"/>
      <protection hidden="1"/>
    </xf>
    <xf numFmtId="0" fontId="12" fillId="0" borderId="77" xfId="0" applyFont="1" applyFill="1" applyBorder="1" applyAlignment="1" applyProtection="1">
      <alignment horizontal="center" vertical="center" shrinkToFit="1" readingOrder="2"/>
      <protection hidden="1"/>
    </xf>
    <xf numFmtId="0" fontId="12" fillId="0" borderId="72" xfId="0" applyFont="1" applyFill="1" applyBorder="1" applyAlignment="1" applyProtection="1">
      <alignment horizontal="center" vertical="center" shrinkToFit="1" readingOrder="2"/>
      <protection hidden="1"/>
    </xf>
    <xf numFmtId="0" fontId="12" fillId="6" borderId="19" xfId="0" applyFont="1" applyFill="1" applyBorder="1" applyAlignment="1" applyProtection="1">
      <alignment horizontal="center" vertical="center" shrinkToFit="1" readingOrder="2"/>
      <protection hidden="1"/>
    </xf>
    <xf numFmtId="0" fontId="12" fillId="6" borderId="20" xfId="0" applyFont="1" applyFill="1" applyBorder="1" applyAlignment="1" applyProtection="1">
      <alignment horizontal="center" vertical="center" shrinkToFit="1" readingOrder="2"/>
      <protection hidden="1"/>
    </xf>
    <xf numFmtId="0" fontId="12" fillId="0" borderId="75" xfId="0" applyFont="1" applyFill="1" applyBorder="1" applyAlignment="1" applyProtection="1">
      <alignment horizontal="right" vertical="center" shrinkToFit="1" readingOrder="2"/>
      <protection hidden="1"/>
    </xf>
    <xf numFmtId="0" fontId="12" fillId="0" borderId="78" xfId="0" applyFont="1" applyFill="1" applyBorder="1" applyAlignment="1" applyProtection="1">
      <alignment horizontal="right" vertical="center" shrinkToFit="1" readingOrder="2"/>
      <protection hidden="1"/>
    </xf>
    <xf numFmtId="0" fontId="12" fillId="0" borderId="66" xfId="0" applyFont="1" applyFill="1" applyBorder="1" applyAlignment="1" applyProtection="1">
      <alignment horizontal="right" vertical="center" shrinkToFit="1" readingOrder="2"/>
      <protection hidden="1"/>
    </xf>
    <xf numFmtId="0" fontId="12" fillId="0" borderId="76" xfId="0" applyFont="1" applyFill="1" applyBorder="1" applyAlignment="1" applyProtection="1">
      <alignment horizontal="right" vertical="center" shrinkToFit="1" readingOrder="2"/>
      <protection hidden="1"/>
    </xf>
    <xf numFmtId="0" fontId="12" fillId="0" borderId="79" xfId="0" applyFont="1" applyFill="1" applyBorder="1" applyAlignment="1" applyProtection="1">
      <alignment horizontal="right" vertical="center" shrinkToFit="1" readingOrder="2"/>
      <protection hidden="1"/>
    </xf>
    <xf numFmtId="0" fontId="12" fillId="0" borderId="64" xfId="0" applyFont="1" applyFill="1" applyBorder="1" applyAlignment="1" applyProtection="1">
      <alignment horizontal="right" vertical="center" shrinkToFit="1" readingOrder="2"/>
      <protection hidden="1"/>
    </xf>
    <xf numFmtId="0" fontId="12" fillId="8" borderId="76" xfId="0" applyFont="1" applyFill="1" applyBorder="1" applyAlignment="1" applyProtection="1">
      <alignment horizontal="right" vertical="center" shrinkToFit="1" readingOrder="2"/>
      <protection hidden="1"/>
    </xf>
    <xf numFmtId="0" fontId="12" fillId="8" borderId="79" xfId="0" applyFont="1" applyFill="1" applyBorder="1" applyAlignment="1" applyProtection="1">
      <alignment horizontal="right" vertical="center" shrinkToFit="1" readingOrder="2"/>
      <protection hidden="1"/>
    </xf>
    <xf numFmtId="0" fontId="12" fillId="8" borderId="64" xfId="0" applyFont="1" applyFill="1" applyBorder="1" applyAlignment="1" applyProtection="1">
      <alignment horizontal="right" vertical="center" shrinkToFit="1" readingOrder="2"/>
      <protection hidden="1"/>
    </xf>
    <xf numFmtId="0" fontId="11" fillId="2" borderId="25" xfId="0" applyFont="1" applyFill="1" applyBorder="1" applyAlignment="1" applyProtection="1">
      <alignment horizontal="center" vertical="center"/>
      <protection hidden="1"/>
    </xf>
    <xf numFmtId="0" fontId="47" fillId="0" borderId="0" xfId="0" applyFont="1" applyFill="1" applyBorder="1" applyAlignment="1" applyProtection="1">
      <alignment horizontal="right" vertical="center" shrinkToFit="1" readingOrder="2"/>
      <protection hidden="1"/>
    </xf>
    <xf numFmtId="0" fontId="12" fillId="0" borderId="23" xfId="0" applyFont="1" applyFill="1" applyBorder="1" applyAlignment="1" applyProtection="1">
      <alignment horizontal="center" vertical="center" shrinkToFit="1" readingOrder="2"/>
      <protection hidden="1"/>
    </xf>
    <xf numFmtId="0" fontId="12" fillId="0" borderId="27" xfId="0" applyFont="1" applyFill="1" applyBorder="1" applyAlignment="1" applyProtection="1">
      <alignment horizontal="center" vertical="center" shrinkToFit="1" readingOrder="2"/>
      <protection hidden="1"/>
    </xf>
    <xf numFmtId="0" fontId="12" fillId="0" borderId="28" xfId="0" applyFont="1" applyFill="1" applyBorder="1" applyAlignment="1" applyProtection="1">
      <alignment horizontal="center" vertical="center" shrinkToFit="1" readingOrder="2"/>
      <protection hidden="1"/>
    </xf>
    <xf numFmtId="0" fontId="12" fillId="0" borderId="29" xfId="0" applyFont="1" applyFill="1" applyBorder="1" applyAlignment="1" applyProtection="1">
      <alignment horizontal="center" vertical="center" shrinkToFit="1" readingOrder="2"/>
      <protection hidden="1"/>
    </xf>
    <xf numFmtId="0" fontId="12" fillId="0" borderId="30" xfId="0" applyFont="1" applyFill="1" applyBorder="1" applyAlignment="1" applyProtection="1">
      <alignment horizontal="center" vertical="center" shrinkToFit="1" readingOrder="2"/>
      <protection hidden="1"/>
    </xf>
    <xf numFmtId="0" fontId="12" fillId="0" borderId="26" xfId="0" applyFont="1" applyFill="1" applyBorder="1" applyAlignment="1" applyProtection="1">
      <alignment horizontal="center" vertical="center" shrinkToFit="1" readingOrder="2"/>
      <protection hidden="1"/>
    </xf>
    <xf numFmtId="0" fontId="11" fillId="7" borderId="19" xfId="0" applyFont="1" applyFill="1" applyBorder="1" applyAlignment="1" applyProtection="1">
      <alignment horizontal="center" vertical="center" shrinkToFit="1" readingOrder="2"/>
      <protection hidden="1"/>
    </xf>
    <xf numFmtId="0" fontId="11" fillId="7" borderId="22" xfId="0" applyFont="1" applyFill="1" applyBorder="1" applyAlignment="1" applyProtection="1">
      <alignment horizontal="center" vertical="center" shrinkToFit="1" readingOrder="2"/>
      <protection hidden="1"/>
    </xf>
    <xf numFmtId="0" fontId="11" fillId="7" borderId="20" xfId="0" applyFont="1" applyFill="1" applyBorder="1" applyAlignment="1" applyProtection="1">
      <alignment horizontal="center" vertical="center" shrinkToFit="1" readingOrder="2"/>
      <protection hidden="1"/>
    </xf>
    <xf numFmtId="0" fontId="11" fillId="22" borderId="19" xfId="0" applyFont="1" applyFill="1" applyBorder="1" applyAlignment="1" applyProtection="1">
      <alignment horizontal="center" vertical="center" shrinkToFit="1" readingOrder="2"/>
      <protection hidden="1"/>
    </xf>
    <xf numFmtId="0" fontId="11" fillId="22" borderId="22" xfId="0" applyFont="1" applyFill="1" applyBorder="1" applyAlignment="1" applyProtection="1">
      <alignment horizontal="center" vertical="center" shrinkToFit="1" readingOrder="2"/>
      <protection hidden="1"/>
    </xf>
    <xf numFmtId="0" fontId="11" fillId="22" borderId="20" xfId="0" applyFont="1" applyFill="1" applyBorder="1" applyAlignment="1" applyProtection="1">
      <alignment horizontal="center" vertical="center" shrinkToFit="1" readingOrder="2"/>
      <protection hidden="1"/>
    </xf>
    <xf numFmtId="0" fontId="1" fillId="0" borderId="75" xfId="0" applyFont="1" applyFill="1" applyBorder="1" applyAlignment="1" applyProtection="1">
      <alignment horizontal="center" vertical="center" shrinkToFit="1" readingOrder="2"/>
      <protection hidden="1"/>
    </xf>
    <xf numFmtId="0" fontId="1" fillId="0" borderId="78" xfId="0" applyFont="1" applyFill="1" applyBorder="1" applyAlignment="1" applyProtection="1">
      <alignment horizontal="center" vertical="center" shrinkToFit="1" readingOrder="2"/>
      <protection hidden="1"/>
    </xf>
    <xf numFmtId="0" fontId="1" fillId="0" borderId="73" xfId="0" applyFont="1" applyFill="1" applyBorder="1" applyAlignment="1" applyProtection="1">
      <alignment horizontal="center" vertical="center" shrinkToFit="1" readingOrder="2"/>
      <protection hidden="1"/>
    </xf>
    <xf numFmtId="0" fontId="21" fillId="8" borderId="57" xfId="0" applyFont="1" applyFill="1" applyBorder="1" applyAlignment="1" applyProtection="1">
      <alignment horizontal="center" vertical="center" shrinkToFit="1"/>
      <protection hidden="1"/>
    </xf>
    <xf numFmtId="0" fontId="21" fillId="8" borderId="0" xfId="0" applyFont="1" applyFill="1" applyBorder="1" applyAlignment="1" applyProtection="1">
      <alignment horizontal="center" vertical="center" shrinkToFit="1"/>
      <protection hidden="1"/>
    </xf>
    <xf numFmtId="0" fontId="2" fillId="2" borderId="36"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2" fillId="2" borderId="60" xfId="0" applyFont="1" applyFill="1" applyBorder="1" applyAlignment="1" applyProtection="1">
      <alignment horizontal="right" vertical="center" shrinkToFit="1" readingOrder="2"/>
      <protection hidden="1"/>
    </xf>
    <xf numFmtId="0" fontId="2" fillId="2" borderId="50" xfId="0" applyFont="1" applyFill="1" applyBorder="1" applyAlignment="1" applyProtection="1">
      <alignment horizontal="right" vertical="center" shrinkToFit="1" readingOrder="2"/>
      <protection hidden="1"/>
    </xf>
    <xf numFmtId="0" fontId="2" fillId="2" borderId="61" xfId="0" applyFont="1" applyFill="1" applyBorder="1" applyAlignment="1" applyProtection="1">
      <alignment horizontal="right" vertical="center" shrinkToFit="1" readingOrder="2"/>
      <protection hidden="1"/>
    </xf>
    <xf numFmtId="0" fontId="30" fillId="2" borderId="57" xfId="0" applyFont="1" applyFill="1" applyBorder="1" applyAlignment="1" applyProtection="1">
      <alignment horizontal="center" vertical="center" shrinkToFit="1"/>
      <protection hidden="1"/>
    </xf>
    <xf numFmtId="0" fontId="30" fillId="2" borderId="0" xfId="0" applyFont="1" applyFill="1" applyBorder="1" applyAlignment="1" applyProtection="1">
      <alignment horizontal="center" vertical="center" shrinkToFit="1"/>
      <protection hidden="1"/>
    </xf>
    <xf numFmtId="0" fontId="31" fillId="2" borderId="57" xfId="1" applyFont="1" applyFill="1" applyBorder="1" applyAlignment="1" applyProtection="1">
      <alignment horizontal="center" vertical="center" shrinkToFit="1"/>
      <protection hidden="1"/>
    </xf>
    <xf numFmtId="0" fontId="32" fillId="2" borderId="0" xfId="1" applyFont="1" applyFill="1" applyBorder="1" applyAlignment="1" applyProtection="1">
      <alignment horizontal="center" vertical="center" shrinkToFit="1"/>
      <protection hidden="1"/>
    </xf>
    <xf numFmtId="0" fontId="31" fillId="2" borderId="0" xfId="1" applyFont="1" applyFill="1" applyBorder="1" applyAlignment="1" applyProtection="1">
      <alignment horizontal="center" vertical="center" shrinkToFit="1"/>
      <protection hidden="1"/>
    </xf>
    <xf numFmtId="0" fontId="1" fillId="2" borderId="0" xfId="0" applyFont="1" applyFill="1" applyBorder="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top"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 fillId="2" borderId="56"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8"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2" fillId="2" borderId="0" xfId="0" applyFont="1" applyFill="1" applyAlignment="1" applyProtection="1">
      <alignment horizontal="center" vertic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8" fillId="2" borderId="57" xfId="0" applyFont="1" applyFill="1" applyBorder="1" applyAlignment="1" applyProtection="1">
      <alignment horizontal="center" vertical="center" shrinkToFit="1"/>
      <protection hidden="1"/>
    </xf>
    <xf numFmtId="0" fontId="28" fillId="2" borderId="0" xfId="0" applyFont="1" applyFill="1" applyBorder="1" applyAlignment="1" applyProtection="1">
      <alignment horizontal="center" vertical="center" shrinkToFit="1"/>
      <protection hidden="1"/>
    </xf>
    <xf numFmtId="0" fontId="22" fillId="2" borderId="57"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9" fillId="2" borderId="57" xfId="1" applyFont="1" applyFill="1" applyBorder="1" applyAlignment="1" applyProtection="1">
      <alignment horizontal="center" vertical="center" shrinkToFit="1"/>
      <protection hidden="1"/>
    </xf>
    <xf numFmtId="0" fontId="29" fillId="2" borderId="0" xfId="1" applyFont="1" applyFill="1" applyBorder="1" applyAlignment="1" applyProtection="1">
      <alignment horizontal="center" vertical="center" shrinkToFit="1"/>
      <protection hidden="1"/>
    </xf>
    <xf numFmtId="0" fontId="21" fillId="8" borderId="57" xfId="0" applyFont="1" applyFill="1" applyBorder="1" applyAlignment="1" applyProtection="1">
      <alignment horizontal="center" vertical="center"/>
      <protection hidden="1"/>
    </xf>
    <xf numFmtId="0" fontId="21" fillId="8" borderId="0" xfId="0" applyFont="1" applyFill="1" applyBorder="1" applyAlignment="1" applyProtection="1">
      <alignment horizontal="center" vertical="center"/>
      <protection hidden="1"/>
    </xf>
    <xf numFmtId="2" fontId="2" fillId="2" borderId="57"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19" fillId="15" borderId="0" xfId="0" applyFont="1" applyFill="1" applyBorder="1" applyAlignment="1" applyProtection="1">
      <alignment horizontal="center" shrinkToFit="1"/>
      <protection hidden="1"/>
    </xf>
    <xf numFmtId="0" fontId="19" fillId="15" borderId="0" xfId="0" applyFont="1" applyFill="1" applyBorder="1" applyAlignment="1" applyProtection="1">
      <alignment horizontal="center" wrapText="1" shrinkToFit="1"/>
      <protection hidden="1"/>
    </xf>
    <xf numFmtId="0" fontId="19" fillId="15" borderId="51" xfId="0" applyFont="1" applyFill="1" applyBorder="1" applyAlignment="1" applyProtection="1">
      <alignment horizontal="center" wrapText="1"/>
      <protection hidden="1"/>
    </xf>
    <xf numFmtId="0" fontId="19" fillId="15" borderId="50" xfId="0" applyFont="1" applyFill="1" applyBorder="1" applyAlignment="1" applyProtection="1">
      <alignment horizontal="center" wrapText="1"/>
      <protection hidden="1"/>
    </xf>
    <xf numFmtId="0" fontId="25" fillId="19" borderId="52" xfId="0" applyFont="1" applyFill="1" applyBorder="1" applyAlignment="1" applyProtection="1">
      <alignment horizontal="center" vertical="center" shrinkToFit="1"/>
      <protection hidden="1"/>
    </xf>
    <xf numFmtId="0" fontId="25" fillId="19" borderId="55"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36" fillId="22" borderId="1" xfId="0" applyFont="1" applyFill="1" applyBorder="1" applyAlignment="1" applyProtection="1">
      <alignment horizontal="center" vertical="center" wrapText="1" shrinkToFit="1"/>
      <protection hidden="1"/>
    </xf>
    <xf numFmtId="0" fontId="36" fillId="22" borderId="2" xfId="0" applyFont="1" applyFill="1" applyBorder="1" applyAlignment="1" applyProtection="1">
      <alignment horizontal="center" vertical="center" shrinkToFit="1"/>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7" fillId="2" borderId="0" xfId="0" applyFont="1" applyFill="1" applyAlignment="1" applyProtection="1">
      <alignment horizontal="center" readingOrder="2"/>
      <protection hidden="1"/>
    </xf>
    <xf numFmtId="0" fontId="39"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41"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7" fillId="2" borderId="0" xfId="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42" fillId="2" borderId="0" xfId="0" applyFont="1" applyFill="1" applyBorder="1" applyAlignment="1" applyProtection="1">
      <alignment horizontal="center" vertical="center" shrinkToFit="1" readingOrder="2"/>
      <protection hidden="1"/>
    </xf>
    <xf numFmtId="0" fontId="43" fillId="2" borderId="0"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1521129</xdr:colOff>
      <xdr:row>18</xdr:row>
      <xdr:rowOff>132440</xdr:rowOff>
    </xdr:from>
    <xdr:to>
      <xdr:col>4</xdr:col>
      <xdr:colOff>3443818</xdr:colOff>
      <xdr:row>20</xdr:row>
      <xdr:rowOff>142723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2994949" y="5949040"/>
          <a:ext cx="1922689" cy="619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323048</xdr:colOff>
      <xdr:row>35</xdr:row>
      <xdr:rowOff>74865</xdr:rowOff>
    </xdr:from>
    <xdr:to>
      <xdr:col>1</xdr:col>
      <xdr:colOff>1609725</xdr:colOff>
      <xdr:row>36</xdr:row>
      <xdr:rowOff>196849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7404500" y="11428665"/>
          <a:ext cx="1286677" cy="407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henasname.ir/" TargetMode="External"/><Relationship Id="rId7" Type="http://schemas.openxmlformats.org/officeDocument/2006/relationships/printerSettings" Target="../printerSettings/printerSettings1.bin"/><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hyperlink" Target="https://shenasname.ir/?p=31199" TargetMode="External"/><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henasname.ir/" TargetMode="External"/><Relationship Id="rId7" Type="http://schemas.openxmlformats.org/officeDocument/2006/relationships/drawing" Target="../drawings/drawing2.xml"/><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printerSettings" Target="../printerSettings/printerSettings2.bin"/><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2D050"/>
    <pageSetUpPr fitToPage="1"/>
  </sheetPr>
  <dimension ref="A1:Y330"/>
  <sheetViews>
    <sheetView showGridLines="0" showRowColHeaders="0" rightToLeft="1" tabSelected="1" zoomScaleNormal="100" workbookViewId="0"/>
  </sheetViews>
  <sheetFormatPr defaultColWidth="9" defaultRowHeight="17" x14ac:dyDescent="0.9"/>
  <cols>
    <col min="1" max="1" width="3.64453125" style="185" customWidth="1"/>
    <col min="2" max="2" width="50.64453125" style="80" customWidth="1"/>
    <col min="3" max="3" width="15.64453125" style="80" customWidth="1"/>
    <col min="4" max="4" width="5.1171875" style="191" customWidth="1"/>
    <col min="5" max="5" width="50.64453125" style="80" customWidth="1"/>
    <col min="6" max="6" width="15.64453125" style="80" customWidth="1"/>
    <col min="7" max="7" width="9" style="185"/>
    <col min="8" max="8" width="35.234375" style="185" customWidth="1"/>
    <col min="9" max="9" width="39.1171875" style="185" customWidth="1"/>
    <col min="10" max="20" width="59" style="185" customWidth="1"/>
    <col min="21" max="25" width="9" style="185"/>
    <col min="26" max="16384" width="9" style="51"/>
  </cols>
  <sheetData>
    <row r="1" spans="2:7" s="185" customFormat="1" ht="27.75" customHeight="1" x14ac:dyDescent="0.5">
      <c r="B1" s="273" t="s">
        <v>263</v>
      </c>
      <c r="C1" s="273"/>
      <c r="D1" s="273"/>
      <c r="E1" s="273"/>
      <c r="F1" s="273"/>
      <c r="G1" s="196"/>
    </row>
    <row r="2" spans="2:7" s="185" customFormat="1" ht="43.5" customHeight="1" x14ac:dyDescent="0.5">
      <c r="B2" s="274" t="s">
        <v>272</v>
      </c>
      <c r="C2" s="275"/>
      <c r="D2" s="275"/>
      <c r="E2" s="275"/>
      <c r="F2" s="275"/>
      <c r="G2" s="196"/>
    </row>
    <row r="3" spans="2:7" s="185" customFormat="1" ht="27" customHeight="1" x14ac:dyDescent="0.5">
      <c r="B3" s="276" t="s">
        <v>256</v>
      </c>
      <c r="C3" s="276"/>
      <c r="D3" s="276"/>
      <c r="E3" s="276"/>
      <c r="F3" s="276"/>
      <c r="G3" s="196"/>
    </row>
    <row r="4" spans="2:7" ht="24" customHeight="1" x14ac:dyDescent="0.95">
      <c r="B4" s="272" t="s">
        <v>253</v>
      </c>
      <c r="C4" s="272"/>
      <c r="D4" s="192"/>
      <c r="E4" s="272" t="s">
        <v>208</v>
      </c>
      <c r="F4" s="272"/>
      <c r="G4" s="196"/>
    </row>
    <row r="5" spans="2:7" ht="24" customHeight="1" x14ac:dyDescent="1.45">
      <c r="B5" s="248" t="s">
        <v>14</v>
      </c>
      <c r="C5" s="248" t="s">
        <v>0</v>
      </c>
      <c r="D5" s="192"/>
      <c r="E5" s="197" t="s">
        <v>267</v>
      </c>
      <c r="F5" s="201" t="s">
        <v>13</v>
      </c>
      <c r="G5" s="196"/>
    </row>
    <row r="6" spans="2:7" ht="24" customHeight="1" x14ac:dyDescent="0.95">
      <c r="B6" s="197" t="s">
        <v>183</v>
      </c>
      <c r="C6" s="200">
        <v>0</v>
      </c>
      <c r="D6" s="192"/>
      <c r="E6" s="272" t="s">
        <v>255</v>
      </c>
      <c r="F6" s="272"/>
      <c r="G6" s="196"/>
    </row>
    <row r="7" spans="2:7" ht="24" customHeight="1" x14ac:dyDescent="0.95">
      <c r="B7" s="197" t="s">
        <v>184</v>
      </c>
      <c r="C7" s="200">
        <v>0</v>
      </c>
      <c r="D7" s="192"/>
      <c r="E7" s="197" t="s">
        <v>268</v>
      </c>
      <c r="F7" s="201" t="s">
        <v>12</v>
      </c>
      <c r="G7" s="196"/>
    </row>
    <row r="8" spans="2:7" ht="24" customHeight="1" x14ac:dyDescent="0.95">
      <c r="B8" s="197" t="s">
        <v>185</v>
      </c>
      <c r="C8" s="200">
        <v>0</v>
      </c>
      <c r="D8" s="192"/>
      <c r="E8" s="197" t="s">
        <v>32</v>
      </c>
      <c r="F8" s="201" t="s">
        <v>35</v>
      </c>
      <c r="G8" s="196"/>
    </row>
    <row r="9" spans="2:7" ht="24" customHeight="1" x14ac:dyDescent="0.95">
      <c r="B9" s="197" t="s">
        <v>186</v>
      </c>
      <c r="C9" s="200">
        <v>0</v>
      </c>
      <c r="D9" s="192"/>
      <c r="E9" s="197" t="s">
        <v>260</v>
      </c>
      <c r="F9" s="201">
        <v>0</v>
      </c>
      <c r="G9" s="196"/>
    </row>
    <row r="10" spans="2:7" ht="24" customHeight="1" x14ac:dyDescent="0.95">
      <c r="B10" s="197" t="s">
        <v>187</v>
      </c>
      <c r="C10" s="200">
        <v>0</v>
      </c>
      <c r="D10" s="192"/>
      <c r="E10" s="197" t="s">
        <v>259</v>
      </c>
      <c r="F10" s="202" t="s">
        <v>142</v>
      </c>
      <c r="G10" s="196"/>
    </row>
    <row r="11" spans="2:7" ht="24" customHeight="1" x14ac:dyDescent="0.95">
      <c r="B11" s="197" t="s">
        <v>188</v>
      </c>
      <c r="C11" s="200">
        <v>0</v>
      </c>
      <c r="D11" s="192"/>
      <c r="E11" s="197" t="s">
        <v>174</v>
      </c>
      <c r="F11" s="202">
        <v>50</v>
      </c>
      <c r="G11" s="196"/>
    </row>
    <row r="12" spans="2:7" ht="24" customHeight="1" x14ac:dyDescent="0.95">
      <c r="B12" s="197" t="s">
        <v>189</v>
      </c>
      <c r="C12" s="200">
        <v>0</v>
      </c>
      <c r="D12" s="192"/>
      <c r="E12" s="272" t="s">
        <v>271</v>
      </c>
      <c r="F12" s="272"/>
      <c r="G12" s="196"/>
    </row>
    <row r="13" spans="2:7" ht="24" customHeight="1" x14ac:dyDescent="0.95">
      <c r="B13" s="197" t="s">
        <v>190</v>
      </c>
      <c r="C13" s="200">
        <v>0</v>
      </c>
      <c r="D13" s="192"/>
      <c r="E13" s="197" t="s">
        <v>269</v>
      </c>
      <c r="F13" s="201" t="s">
        <v>13</v>
      </c>
      <c r="G13" s="196"/>
    </row>
    <row r="14" spans="2:7" ht="24" customHeight="1" x14ac:dyDescent="0.95">
      <c r="B14" s="197" t="s">
        <v>191</v>
      </c>
      <c r="C14" s="200">
        <v>0</v>
      </c>
      <c r="D14" s="192"/>
      <c r="E14" s="197" t="s">
        <v>270</v>
      </c>
      <c r="F14" s="201">
        <v>0</v>
      </c>
      <c r="G14" s="196"/>
    </row>
    <row r="15" spans="2:7" ht="24" customHeight="1" x14ac:dyDescent="0.95">
      <c r="B15" s="197" t="s">
        <v>192</v>
      </c>
      <c r="C15" s="200">
        <v>0</v>
      </c>
      <c r="D15" s="192"/>
      <c r="E15" s="272" t="s">
        <v>76</v>
      </c>
      <c r="F15" s="272"/>
      <c r="G15" s="196"/>
    </row>
    <row r="16" spans="2:7" ht="24" customHeight="1" x14ac:dyDescent="0.95">
      <c r="B16" s="197" t="s">
        <v>193</v>
      </c>
      <c r="C16" s="200">
        <v>0</v>
      </c>
      <c r="D16" s="192"/>
      <c r="E16" s="207" t="s">
        <v>203</v>
      </c>
      <c r="F16" s="212" t="s">
        <v>78</v>
      </c>
      <c r="G16" s="196"/>
    </row>
    <row r="17" spans="2:7" ht="24" customHeight="1" x14ac:dyDescent="0.95">
      <c r="B17" s="197" t="s">
        <v>194</v>
      </c>
      <c r="C17" s="200">
        <v>0</v>
      </c>
      <c r="D17" s="192"/>
      <c r="E17" s="207" t="s">
        <v>77</v>
      </c>
      <c r="F17" s="212" t="s">
        <v>78</v>
      </c>
      <c r="G17" s="196"/>
    </row>
    <row r="18" spans="2:7" ht="24" customHeight="1" x14ac:dyDescent="0.95">
      <c r="B18" s="272" t="s">
        <v>252</v>
      </c>
      <c r="C18" s="272"/>
      <c r="D18" s="192"/>
      <c r="E18" s="207" t="s">
        <v>257</v>
      </c>
      <c r="F18" s="212" t="s">
        <v>78</v>
      </c>
      <c r="G18" s="196"/>
    </row>
    <row r="19" spans="2:7" ht="24" customHeight="1" x14ac:dyDescent="1.45">
      <c r="B19" s="248" t="s">
        <v>14</v>
      </c>
      <c r="C19" s="248" t="s">
        <v>1</v>
      </c>
      <c r="D19" s="192"/>
      <c r="G19" s="196"/>
    </row>
    <row r="20" spans="2:7" ht="24" customHeight="1" x14ac:dyDescent="0.95">
      <c r="B20" s="197" t="s">
        <v>195</v>
      </c>
      <c r="C20" s="203">
        <v>0</v>
      </c>
      <c r="D20" s="192"/>
      <c r="G20" s="196"/>
    </row>
    <row r="21" spans="2:7" ht="24" customHeight="1" x14ac:dyDescent="0.95">
      <c r="B21" s="197" t="s">
        <v>196</v>
      </c>
      <c r="C21" s="203">
        <v>0</v>
      </c>
      <c r="D21" s="192"/>
      <c r="G21" s="196"/>
    </row>
    <row r="22" spans="2:7" ht="27.35" x14ac:dyDescent="0.9">
      <c r="B22" s="197" t="s">
        <v>232</v>
      </c>
      <c r="C22" s="203">
        <v>0</v>
      </c>
      <c r="D22" s="193"/>
      <c r="E22" s="278" t="s">
        <v>233</v>
      </c>
      <c r="F22" s="278"/>
      <c r="G22" s="196"/>
    </row>
    <row r="23" spans="2:7" s="185" customFormat="1" ht="23.35" x14ac:dyDescent="1.1000000000000001">
      <c r="B23" s="197" t="s">
        <v>197</v>
      </c>
      <c r="C23" s="203">
        <v>0</v>
      </c>
      <c r="D23" s="191"/>
      <c r="E23" s="279" t="s">
        <v>234</v>
      </c>
      <c r="F23" s="279"/>
    </row>
    <row r="24" spans="2:7" ht="23.35" x14ac:dyDescent="0.9">
      <c r="B24" s="197" t="s">
        <v>198</v>
      </c>
      <c r="C24" s="203">
        <v>0</v>
      </c>
      <c r="E24" s="280" t="s">
        <v>264</v>
      </c>
      <c r="F24" s="280"/>
    </row>
    <row r="25" spans="2:7" ht="27.35" x14ac:dyDescent="0.9">
      <c r="B25" s="197" t="s">
        <v>199</v>
      </c>
      <c r="C25" s="203">
        <v>0</v>
      </c>
      <c r="D25" s="194"/>
      <c r="E25" s="277" t="s">
        <v>236</v>
      </c>
      <c r="F25" s="277"/>
      <c r="G25" s="191"/>
    </row>
    <row r="26" spans="2:7" ht="27.35" x14ac:dyDescent="0.9">
      <c r="B26" s="197" t="s">
        <v>200</v>
      </c>
      <c r="C26" s="203">
        <v>0</v>
      </c>
      <c r="D26" s="195"/>
      <c r="E26" s="281" t="s">
        <v>237</v>
      </c>
      <c r="F26" s="281"/>
      <c r="G26" s="191"/>
    </row>
    <row r="27" spans="2:7" s="185" customFormat="1" ht="27.35" x14ac:dyDescent="0.9">
      <c r="B27" s="197" t="s">
        <v>243</v>
      </c>
      <c r="C27" s="203">
        <v>0</v>
      </c>
      <c r="D27" s="194"/>
      <c r="E27" s="277" t="s">
        <v>250</v>
      </c>
      <c r="F27" s="277"/>
      <c r="G27" s="191"/>
    </row>
    <row r="28" spans="2:7" s="185" customFormat="1" ht="23.35" customHeight="1" x14ac:dyDescent="0.95">
      <c r="B28" s="271" t="s">
        <v>278</v>
      </c>
      <c r="C28" s="271"/>
      <c r="D28" s="271"/>
      <c r="E28" s="271"/>
      <c r="F28" s="270" t="s">
        <v>277</v>
      </c>
      <c r="G28" s="191"/>
    </row>
    <row r="29" spans="2:7" s="185" customFormat="1" ht="24.95" customHeight="1" x14ac:dyDescent="0.9">
      <c r="D29" s="195"/>
      <c r="G29" s="191"/>
    </row>
    <row r="30" spans="2:7" ht="24" customHeight="1" x14ac:dyDescent="0.9">
      <c r="G30" s="191"/>
    </row>
    <row r="31" spans="2:7" ht="24" customHeight="1" x14ac:dyDescent="0.9">
      <c r="G31" s="191"/>
    </row>
    <row r="32" spans="2:7" ht="24" customHeight="1" x14ac:dyDescent="0.9">
      <c r="G32" s="191"/>
    </row>
    <row r="33" spans="2:6" s="185" customFormat="1" x14ac:dyDescent="0.9">
      <c r="D33" s="191"/>
      <c r="E33" s="80"/>
      <c r="F33" s="80"/>
    </row>
    <row r="34" spans="2:6" s="185" customFormat="1" x14ac:dyDescent="0.9">
      <c r="D34" s="191"/>
    </row>
    <row r="35" spans="2:6" s="185" customFormat="1" x14ac:dyDescent="0.9">
      <c r="D35" s="191"/>
    </row>
    <row r="36" spans="2:6" s="185" customFormat="1" x14ac:dyDescent="0.9">
      <c r="D36" s="191"/>
    </row>
    <row r="37" spans="2:6" s="185" customFormat="1" x14ac:dyDescent="0.9">
      <c r="D37" s="191"/>
    </row>
    <row r="38" spans="2:6" s="185" customFormat="1" x14ac:dyDescent="0.9">
      <c r="B38" s="191"/>
      <c r="C38" s="191"/>
      <c r="D38" s="191"/>
    </row>
    <row r="39" spans="2:6" s="185" customFormat="1" x14ac:dyDescent="0.9">
      <c r="B39" s="191"/>
      <c r="C39" s="191"/>
      <c r="D39" s="191"/>
    </row>
    <row r="40" spans="2:6" s="185" customFormat="1" x14ac:dyDescent="0.9">
      <c r="B40" s="191"/>
      <c r="C40" s="191"/>
      <c r="D40" s="191"/>
    </row>
    <row r="41" spans="2:6" s="185" customFormat="1" x14ac:dyDescent="0.9">
      <c r="B41" s="191"/>
      <c r="C41" s="191"/>
      <c r="D41" s="191"/>
    </row>
    <row r="42" spans="2:6" s="185" customFormat="1" x14ac:dyDescent="0.9">
      <c r="B42" s="191"/>
      <c r="C42" s="191"/>
      <c r="D42" s="191"/>
    </row>
    <row r="43" spans="2:6" s="185" customFormat="1" x14ac:dyDescent="0.9">
      <c r="B43" s="191"/>
      <c r="C43" s="191"/>
      <c r="D43" s="191"/>
    </row>
    <row r="44" spans="2:6" s="185" customFormat="1" x14ac:dyDescent="0.9">
      <c r="B44" s="191"/>
      <c r="C44" s="191"/>
      <c r="D44" s="191"/>
    </row>
    <row r="45" spans="2:6" s="185" customFormat="1" x14ac:dyDescent="0.9">
      <c r="B45" s="191"/>
      <c r="C45" s="191"/>
      <c r="D45" s="191"/>
    </row>
    <row r="46" spans="2:6" s="185" customFormat="1" x14ac:dyDescent="0.9">
      <c r="B46" s="191"/>
      <c r="C46" s="191"/>
      <c r="D46" s="191"/>
      <c r="E46" s="191"/>
      <c r="F46" s="191"/>
    </row>
    <row r="47" spans="2:6" s="185" customFormat="1" x14ac:dyDescent="0.9">
      <c r="B47" s="191"/>
      <c r="C47" s="191"/>
      <c r="D47" s="191"/>
      <c r="E47" s="191"/>
      <c r="F47" s="191"/>
    </row>
    <row r="48" spans="2:6" s="185" customFormat="1" x14ac:dyDescent="0.9">
      <c r="B48" s="191"/>
      <c r="C48" s="191"/>
      <c r="D48" s="191"/>
      <c r="E48" s="191"/>
      <c r="F48" s="191"/>
    </row>
    <row r="49" spans="2:6" s="185" customFormat="1" x14ac:dyDescent="0.9">
      <c r="B49" s="191"/>
      <c r="C49" s="191"/>
      <c r="D49" s="191"/>
      <c r="E49" s="191"/>
      <c r="F49" s="191"/>
    </row>
    <row r="50" spans="2:6" s="185" customFormat="1" x14ac:dyDescent="0.9">
      <c r="B50" s="191"/>
      <c r="C50" s="191"/>
      <c r="D50" s="191"/>
      <c r="E50" s="191"/>
      <c r="F50" s="191"/>
    </row>
    <row r="51" spans="2:6" s="185" customFormat="1" x14ac:dyDescent="0.9">
      <c r="B51" s="191"/>
      <c r="C51" s="191"/>
      <c r="D51" s="191"/>
      <c r="E51" s="191"/>
      <c r="F51" s="191"/>
    </row>
    <row r="52" spans="2:6" s="185" customFormat="1" x14ac:dyDescent="0.9">
      <c r="B52" s="191"/>
      <c r="C52" s="191"/>
      <c r="D52" s="191"/>
      <c r="E52" s="191"/>
      <c r="F52" s="191"/>
    </row>
    <row r="53" spans="2:6" s="185" customFormat="1" x14ac:dyDescent="0.9">
      <c r="B53" s="191"/>
      <c r="C53" s="191"/>
      <c r="D53" s="191"/>
      <c r="E53" s="191"/>
      <c r="F53" s="191"/>
    </row>
    <row r="54" spans="2:6" s="185" customFormat="1" x14ac:dyDescent="0.9">
      <c r="B54" s="191"/>
      <c r="C54" s="191"/>
      <c r="D54" s="191"/>
      <c r="E54" s="191"/>
      <c r="F54" s="191"/>
    </row>
    <row r="55" spans="2:6" s="185" customFormat="1" x14ac:dyDescent="0.9">
      <c r="B55" s="191"/>
      <c r="C55" s="191"/>
      <c r="D55" s="191"/>
      <c r="E55" s="191"/>
      <c r="F55" s="191"/>
    </row>
    <row r="56" spans="2:6" s="185" customFormat="1" x14ac:dyDescent="0.9">
      <c r="B56" s="191"/>
      <c r="C56" s="191"/>
      <c r="D56" s="191"/>
      <c r="E56" s="191"/>
      <c r="F56" s="191"/>
    </row>
    <row r="57" spans="2:6" s="185" customFormat="1" x14ac:dyDescent="0.9">
      <c r="B57" s="191"/>
      <c r="C57" s="191"/>
      <c r="D57" s="191"/>
      <c r="E57" s="191"/>
      <c r="F57" s="191"/>
    </row>
    <row r="58" spans="2:6" s="185" customFormat="1" x14ac:dyDescent="0.9">
      <c r="B58" s="191"/>
      <c r="C58" s="191"/>
      <c r="D58" s="191"/>
      <c r="E58" s="191"/>
      <c r="F58" s="191"/>
    </row>
    <row r="59" spans="2:6" s="185" customFormat="1" x14ac:dyDescent="0.9">
      <c r="B59" s="191"/>
      <c r="C59" s="191"/>
      <c r="D59" s="191"/>
      <c r="E59" s="191"/>
      <c r="F59" s="191"/>
    </row>
    <row r="60" spans="2:6" s="185" customFormat="1" x14ac:dyDescent="0.9">
      <c r="B60" s="191"/>
      <c r="C60" s="191"/>
      <c r="D60" s="191"/>
      <c r="E60" s="191"/>
      <c r="F60" s="191"/>
    </row>
    <row r="61" spans="2:6" s="185" customFormat="1" x14ac:dyDescent="0.9">
      <c r="B61" s="191"/>
      <c r="C61" s="191"/>
      <c r="D61" s="191"/>
      <c r="E61" s="191"/>
      <c r="F61" s="191"/>
    </row>
    <row r="62" spans="2:6" s="185" customFormat="1" x14ac:dyDescent="0.9">
      <c r="B62" s="191"/>
      <c r="C62" s="191"/>
      <c r="D62" s="191"/>
      <c r="E62" s="191"/>
      <c r="F62" s="191"/>
    </row>
    <row r="63" spans="2:6" s="185" customFormat="1" x14ac:dyDescent="0.9">
      <c r="B63" s="191"/>
      <c r="C63" s="191"/>
      <c r="D63" s="191"/>
      <c r="E63" s="191"/>
      <c r="F63" s="191"/>
    </row>
    <row r="64" spans="2:6" s="185" customFormat="1" x14ac:dyDescent="0.9">
      <c r="B64" s="191"/>
      <c r="C64" s="191"/>
      <c r="D64" s="191"/>
      <c r="E64" s="191"/>
      <c r="F64" s="191"/>
    </row>
    <row r="65" spans="2:6" s="185" customFormat="1" x14ac:dyDescent="0.9">
      <c r="B65" s="191"/>
      <c r="C65" s="191"/>
      <c r="D65" s="191"/>
      <c r="E65" s="191"/>
      <c r="F65" s="191"/>
    </row>
    <row r="66" spans="2:6" s="185" customFormat="1" x14ac:dyDescent="0.9">
      <c r="B66" s="191"/>
      <c r="C66" s="191"/>
      <c r="D66" s="191"/>
      <c r="E66" s="191"/>
      <c r="F66" s="191"/>
    </row>
    <row r="67" spans="2:6" s="185" customFormat="1" x14ac:dyDescent="0.9">
      <c r="B67" s="191"/>
      <c r="C67" s="191"/>
      <c r="D67" s="191"/>
      <c r="E67" s="191"/>
      <c r="F67" s="191"/>
    </row>
    <row r="68" spans="2:6" s="185" customFormat="1" x14ac:dyDescent="0.9">
      <c r="B68" s="191"/>
      <c r="C68" s="191"/>
      <c r="D68" s="191"/>
      <c r="E68" s="191"/>
      <c r="F68" s="191"/>
    </row>
    <row r="69" spans="2:6" s="185" customFormat="1" x14ac:dyDescent="0.9">
      <c r="B69" s="191"/>
      <c r="C69" s="191"/>
      <c r="D69" s="191"/>
      <c r="E69" s="191"/>
      <c r="F69" s="191"/>
    </row>
    <row r="70" spans="2:6" s="185" customFormat="1" x14ac:dyDescent="0.9">
      <c r="B70" s="191"/>
      <c r="C70" s="191"/>
      <c r="D70" s="191"/>
      <c r="E70" s="191"/>
      <c r="F70" s="191"/>
    </row>
    <row r="71" spans="2:6" s="185" customFormat="1" x14ac:dyDescent="0.9">
      <c r="B71" s="191"/>
      <c r="C71" s="191"/>
      <c r="D71" s="191"/>
      <c r="E71" s="191"/>
      <c r="F71" s="191"/>
    </row>
    <row r="72" spans="2:6" s="185" customFormat="1" x14ac:dyDescent="0.9">
      <c r="B72" s="191"/>
      <c r="C72" s="191"/>
      <c r="D72" s="191"/>
      <c r="E72" s="191"/>
      <c r="F72" s="191"/>
    </row>
    <row r="73" spans="2:6" s="185" customFormat="1" x14ac:dyDescent="0.9">
      <c r="B73" s="191"/>
      <c r="C73" s="191"/>
      <c r="D73" s="191"/>
      <c r="E73" s="191"/>
      <c r="F73" s="191"/>
    </row>
    <row r="74" spans="2:6" s="185" customFormat="1" x14ac:dyDescent="0.9">
      <c r="B74" s="191"/>
      <c r="C74" s="191"/>
      <c r="D74" s="191"/>
      <c r="E74" s="191"/>
      <c r="F74" s="191"/>
    </row>
    <row r="75" spans="2:6" s="185" customFormat="1" x14ac:dyDescent="0.9">
      <c r="B75" s="191"/>
      <c r="C75" s="191"/>
      <c r="D75" s="191"/>
      <c r="E75" s="191"/>
      <c r="F75" s="191"/>
    </row>
    <row r="76" spans="2:6" s="185" customFormat="1" x14ac:dyDescent="0.9">
      <c r="B76" s="191"/>
      <c r="C76" s="191"/>
      <c r="D76" s="191"/>
      <c r="E76" s="191"/>
      <c r="F76" s="191"/>
    </row>
    <row r="77" spans="2:6" s="185" customFormat="1" x14ac:dyDescent="0.9">
      <c r="B77" s="191"/>
      <c r="C77" s="191"/>
      <c r="D77" s="191"/>
      <c r="E77" s="191"/>
      <c r="F77" s="191"/>
    </row>
    <row r="78" spans="2:6" s="185" customFormat="1" x14ac:dyDescent="0.9">
      <c r="B78" s="191"/>
      <c r="C78" s="191"/>
      <c r="D78" s="191"/>
      <c r="E78" s="191"/>
      <c r="F78" s="191"/>
    </row>
    <row r="79" spans="2:6" s="185" customFormat="1" x14ac:dyDescent="0.9">
      <c r="B79" s="191"/>
      <c r="C79" s="191"/>
      <c r="D79" s="191"/>
      <c r="E79" s="191"/>
      <c r="F79" s="191"/>
    </row>
    <row r="80" spans="2:6" s="185" customFormat="1" x14ac:dyDescent="0.9">
      <c r="B80" s="191"/>
      <c r="C80" s="191"/>
      <c r="D80" s="191"/>
      <c r="E80" s="191"/>
      <c r="F80" s="191"/>
    </row>
    <row r="81" spans="2:6" s="185" customFormat="1" x14ac:dyDescent="0.9">
      <c r="B81" s="191"/>
      <c r="C81" s="191"/>
      <c r="D81" s="191"/>
      <c r="E81" s="191"/>
      <c r="F81" s="191"/>
    </row>
    <row r="82" spans="2:6" s="185" customFormat="1" x14ac:dyDescent="0.9">
      <c r="B82" s="191"/>
      <c r="C82" s="191"/>
      <c r="D82" s="191"/>
      <c r="E82" s="191"/>
      <c r="F82" s="191"/>
    </row>
    <row r="83" spans="2:6" s="185" customFormat="1" x14ac:dyDescent="0.9">
      <c r="B83" s="191"/>
      <c r="C83" s="191"/>
      <c r="D83" s="191"/>
      <c r="E83" s="191"/>
      <c r="F83" s="191"/>
    </row>
    <row r="84" spans="2:6" s="185" customFormat="1" x14ac:dyDescent="0.9">
      <c r="B84" s="191"/>
      <c r="C84" s="191"/>
      <c r="D84" s="191"/>
      <c r="E84" s="191"/>
      <c r="F84" s="191"/>
    </row>
    <row r="85" spans="2:6" s="185" customFormat="1" x14ac:dyDescent="0.9">
      <c r="B85" s="191"/>
      <c r="C85" s="191"/>
      <c r="D85" s="191"/>
      <c r="E85" s="191"/>
      <c r="F85" s="191"/>
    </row>
    <row r="86" spans="2:6" s="185" customFormat="1" x14ac:dyDescent="0.9">
      <c r="B86" s="191"/>
      <c r="C86" s="191"/>
      <c r="D86" s="191"/>
      <c r="E86" s="191"/>
      <c r="F86" s="191"/>
    </row>
    <row r="87" spans="2:6" s="185" customFormat="1" x14ac:dyDescent="0.9">
      <c r="B87" s="191"/>
      <c r="C87" s="191"/>
      <c r="D87" s="191"/>
      <c r="E87" s="191"/>
      <c r="F87" s="191"/>
    </row>
    <row r="88" spans="2:6" s="185" customFormat="1" x14ac:dyDescent="0.9">
      <c r="B88" s="191"/>
      <c r="C88" s="191"/>
      <c r="D88" s="191"/>
      <c r="E88" s="191"/>
      <c r="F88" s="191"/>
    </row>
    <row r="89" spans="2:6" s="185" customFormat="1" x14ac:dyDescent="0.9">
      <c r="B89" s="191"/>
      <c r="C89" s="191"/>
      <c r="D89" s="191"/>
      <c r="E89" s="191"/>
      <c r="F89" s="191"/>
    </row>
    <row r="90" spans="2:6" s="185" customFormat="1" x14ac:dyDescent="0.9">
      <c r="B90" s="191"/>
      <c r="C90" s="191"/>
      <c r="D90" s="191"/>
      <c r="E90" s="191"/>
      <c r="F90" s="191"/>
    </row>
    <row r="91" spans="2:6" s="185" customFormat="1" x14ac:dyDescent="0.9">
      <c r="B91" s="191"/>
      <c r="C91" s="191"/>
      <c r="D91" s="191"/>
      <c r="E91" s="191"/>
      <c r="F91" s="191"/>
    </row>
    <row r="92" spans="2:6" s="185" customFormat="1" x14ac:dyDescent="0.9">
      <c r="B92" s="191"/>
      <c r="C92" s="191"/>
      <c r="D92" s="191"/>
      <c r="E92" s="191"/>
      <c r="F92" s="191"/>
    </row>
    <row r="93" spans="2:6" s="185" customFormat="1" x14ac:dyDescent="0.9">
      <c r="B93" s="191"/>
      <c r="C93" s="191"/>
      <c r="D93" s="191"/>
      <c r="E93" s="191"/>
      <c r="F93" s="191"/>
    </row>
    <row r="94" spans="2:6" s="185" customFormat="1" x14ac:dyDescent="0.9">
      <c r="B94" s="191"/>
      <c r="C94" s="191"/>
      <c r="D94" s="191"/>
      <c r="E94" s="191"/>
      <c r="F94" s="191"/>
    </row>
    <row r="95" spans="2:6" s="185" customFormat="1" x14ac:dyDescent="0.9">
      <c r="B95" s="191"/>
      <c r="C95" s="191"/>
      <c r="D95" s="191"/>
      <c r="E95" s="191"/>
      <c r="F95" s="191"/>
    </row>
    <row r="96" spans="2:6" s="185" customFormat="1" x14ac:dyDescent="0.9">
      <c r="B96" s="191"/>
      <c r="C96" s="191"/>
      <c r="D96" s="191"/>
      <c r="E96" s="191"/>
      <c r="F96" s="191"/>
    </row>
    <row r="97" spans="2:6" s="185" customFormat="1" x14ac:dyDescent="0.9">
      <c r="B97" s="191"/>
      <c r="C97" s="191"/>
      <c r="D97" s="191"/>
      <c r="E97" s="191"/>
      <c r="F97" s="191"/>
    </row>
    <row r="98" spans="2:6" s="185" customFormat="1" x14ac:dyDescent="0.9">
      <c r="B98" s="191"/>
      <c r="C98" s="191"/>
      <c r="D98" s="191"/>
      <c r="E98" s="191"/>
      <c r="F98" s="191"/>
    </row>
    <row r="99" spans="2:6" s="185" customFormat="1" x14ac:dyDescent="0.9">
      <c r="B99" s="191"/>
      <c r="C99" s="191"/>
      <c r="D99" s="191"/>
      <c r="E99" s="191"/>
      <c r="F99" s="191"/>
    </row>
    <row r="100" spans="2:6" s="185" customFormat="1" x14ac:dyDescent="0.9">
      <c r="B100" s="191"/>
      <c r="C100" s="191"/>
      <c r="D100" s="191"/>
      <c r="E100" s="191"/>
      <c r="F100" s="191"/>
    </row>
    <row r="101" spans="2:6" s="185" customFormat="1" x14ac:dyDescent="0.9">
      <c r="B101" s="191"/>
      <c r="C101" s="191"/>
      <c r="D101" s="191"/>
      <c r="E101" s="191"/>
      <c r="F101" s="191"/>
    </row>
    <row r="102" spans="2:6" s="185" customFormat="1" x14ac:dyDescent="0.9">
      <c r="B102" s="191"/>
      <c r="C102" s="191"/>
      <c r="D102" s="191"/>
      <c r="E102" s="191"/>
      <c r="F102" s="191"/>
    </row>
    <row r="103" spans="2:6" s="185" customFormat="1" x14ac:dyDescent="0.9">
      <c r="B103" s="191"/>
      <c r="C103" s="191"/>
      <c r="D103" s="191"/>
      <c r="E103" s="191"/>
      <c r="F103" s="191"/>
    </row>
    <row r="104" spans="2:6" s="185" customFormat="1" x14ac:dyDescent="0.9">
      <c r="B104" s="191"/>
      <c r="C104" s="191"/>
      <c r="D104" s="191"/>
      <c r="E104" s="191"/>
      <c r="F104" s="191"/>
    </row>
    <row r="105" spans="2:6" s="185" customFormat="1" x14ac:dyDescent="0.9">
      <c r="B105" s="191"/>
      <c r="C105" s="191"/>
      <c r="D105" s="191"/>
      <c r="E105" s="191"/>
      <c r="F105" s="191"/>
    </row>
    <row r="106" spans="2:6" s="185" customFormat="1" x14ac:dyDescent="0.9">
      <c r="B106" s="191"/>
      <c r="C106" s="191"/>
      <c r="D106" s="191"/>
      <c r="E106" s="191"/>
      <c r="F106" s="191"/>
    </row>
    <row r="107" spans="2:6" s="185" customFormat="1" x14ac:dyDescent="0.9">
      <c r="B107" s="191"/>
      <c r="C107" s="191"/>
      <c r="D107" s="191"/>
      <c r="E107" s="191"/>
      <c r="F107" s="191"/>
    </row>
    <row r="108" spans="2:6" s="185" customFormat="1" x14ac:dyDescent="0.9">
      <c r="B108" s="191"/>
      <c r="C108" s="191"/>
      <c r="D108" s="191"/>
      <c r="E108" s="191"/>
      <c r="F108" s="191"/>
    </row>
    <row r="109" spans="2:6" s="185" customFormat="1" x14ac:dyDescent="0.9">
      <c r="B109" s="191"/>
      <c r="C109" s="191"/>
      <c r="D109" s="191"/>
      <c r="E109" s="191"/>
      <c r="F109" s="191"/>
    </row>
    <row r="110" spans="2:6" s="185" customFormat="1" x14ac:dyDescent="0.9">
      <c r="B110" s="191"/>
      <c r="C110" s="191"/>
      <c r="D110" s="191"/>
      <c r="E110" s="191"/>
      <c r="F110" s="191"/>
    </row>
    <row r="111" spans="2:6" s="185" customFormat="1" x14ac:dyDescent="0.9">
      <c r="B111" s="191"/>
      <c r="C111" s="191"/>
      <c r="D111" s="191"/>
      <c r="E111" s="191"/>
      <c r="F111" s="191"/>
    </row>
    <row r="112" spans="2:6" s="185" customFormat="1" x14ac:dyDescent="0.9">
      <c r="B112" s="191"/>
      <c r="C112" s="191"/>
      <c r="D112" s="191"/>
      <c r="E112" s="191"/>
      <c r="F112" s="191"/>
    </row>
    <row r="113" spans="2:6" s="185" customFormat="1" x14ac:dyDescent="0.9">
      <c r="B113" s="191"/>
      <c r="C113" s="191"/>
      <c r="D113" s="191"/>
      <c r="E113" s="191"/>
      <c r="F113" s="191"/>
    </row>
    <row r="114" spans="2:6" s="185" customFormat="1" x14ac:dyDescent="0.9">
      <c r="B114" s="191"/>
      <c r="C114" s="191"/>
      <c r="D114" s="191"/>
      <c r="E114" s="191"/>
      <c r="F114" s="191"/>
    </row>
    <row r="115" spans="2:6" s="185" customFormat="1" x14ac:dyDescent="0.9">
      <c r="B115" s="191"/>
      <c r="C115" s="191"/>
      <c r="D115" s="191"/>
      <c r="E115" s="191"/>
      <c r="F115" s="191"/>
    </row>
    <row r="116" spans="2:6" s="185" customFormat="1" x14ac:dyDescent="0.9">
      <c r="B116" s="191"/>
      <c r="C116" s="191"/>
      <c r="D116" s="191"/>
      <c r="E116" s="191"/>
      <c r="F116" s="191"/>
    </row>
    <row r="117" spans="2:6" s="185" customFormat="1" x14ac:dyDescent="0.9">
      <c r="B117" s="191"/>
      <c r="C117" s="191"/>
      <c r="D117" s="191"/>
      <c r="E117" s="191"/>
      <c r="F117" s="191"/>
    </row>
    <row r="118" spans="2:6" s="185" customFormat="1" x14ac:dyDescent="0.9">
      <c r="B118" s="191"/>
      <c r="C118" s="191"/>
      <c r="D118" s="191"/>
      <c r="E118" s="191"/>
      <c r="F118" s="191"/>
    </row>
    <row r="119" spans="2:6" s="185" customFormat="1" x14ac:dyDescent="0.9">
      <c r="B119" s="191"/>
      <c r="C119" s="191"/>
      <c r="D119" s="191"/>
      <c r="E119" s="191"/>
      <c r="F119" s="191"/>
    </row>
    <row r="120" spans="2:6" s="185" customFormat="1" x14ac:dyDescent="0.9">
      <c r="B120" s="191"/>
      <c r="C120" s="191"/>
      <c r="D120" s="191"/>
      <c r="E120" s="191"/>
      <c r="F120" s="191"/>
    </row>
    <row r="121" spans="2:6" s="185" customFormat="1" x14ac:dyDescent="0.9">
      <c r="B121" s="191"/>
      <c r="C121" s="191"/>
      <c r="D121" s="191"/>
      <c r="E121" s="191"/>
      <c r="F121" s="191"/>
    </row>
    <row r="122" spans="2:6" s="185" customFormat="1" x14ac:dyDescent="0.9">
      <c r="B122" s="191"/>
      <c r="C122" s="191"/>
      <c r="D122" s="191"/>
      <c r="E122" s="191"/>
      <c r="F122" s="191"/>
    </row>
    <row r="123" spans="2:6" s="185" customFormat="1" x14ac:dyDescent="0.9">
      <c r="B123" s="191"/>
      <c r="C123" s="191"/>
      <c r="D123" s="191"/>
      <c r="E123" s="191"/>
      <c r="F123" s="191"/>
    </row>
    <row r="124" spans="2:6" s="185" customFormat="1" x14ac:dyDescent="0.9">
      <c r="B124" s="191"/>
      <c r="C124" s="191"/>
      <c r="D124" s="191"/>
      <c r="E124" s="191"/>
      <c r="F124" s="191"/>
    </row>
    <row r="125" spans="2:6" s="185" customFormat="1" x14ac:dyDescent="0.9">
      <c r="B125" s="191"/>
      <c r="C125" s="191"/>
      <c r="D125" s="191"/>
      <c r="E125" s="191"/>
      <c r="F125" s="191"/>
    </row>
    <row r="126" spans="2:6" s="185" customFormat="1" x14ac:dyDescent="0.9">
      <c r="B126" s="191"/>
      <c r="C126" s="191"/>
      <c r="D126" s="191"/>
      <c r="E126" s="191"/>
      <c r="F126" s="191"/>
    </row>
    <row r="127" spans="2:6" s="185" customFormat="1" x14ac:dyDescent="0.9">
      <c r="B127" s="191"/>
      <c r="C127" s="191"/>
      <c r="D127" s="191"/>
      <c r="E127" s="191"/>
      <c r="F127" s="191"/>
    </row>
    <row r="128" spans="2:6" s="185" customFormat="1" x14ac:dyDescent="0.9">
      <c r="B128" s="191"/>
      <c r="C128" s="191"/>
      <c r="D128" s="191"/>
      <c r="E128" s="191"/>
      <c r="F128" s="191"/>
    </row>
    <row r="129" spans="2:6" s="185" customFormat="1" x14ac:dyDescent="0.9">
      <c r="B129" s="191"/>
      <c r="C129" s="191"/>
      <c r="D129" s="191"/>
      <c r="E129" s="191"/>
      <c r="F129" s="191"/>
    </row>
    <row r="130" spans="2:6" s="185" customFormat="1" x14ac:dyDescent="0.9">
      <c r="B130" s="191"/>
      <c r="C130" s="191"/>
      <c r="D130" s="191"/>
      <c r="E130" s="191"/>
      <c r="F130" s="191"/>
    </row>
    <row r="131" spans="2:6" s="185" customFormat="1" x14ac:dyDescent="0.9">
      <c r="B131" s="191"/>
      <c r="C131" s="191"/>
      <c r="D131" s="191"/>
      <c r="E131" s="191"/>
      <c r="F131" s="191"/>
    </row>
    <row r="132" spans="2:6" s="185" customFormat="1" x14ac:dyDescent="0.9">
      <c r="B132" s="191"/>
      <c r="C132" s="191"/>
      <c r="D132" s="191"/>
      <c r="E132" s="191"/>
      <c r="F132" s="191"/>
    </row>
    <row r="133" spans="2:6" s="185" customFormat="1" x14ac:dyDescent="0.9">
      <c r="B133" s="191"/>
      <c r="C133" s="191"/>
      <c r="D133" s="191"/>
      <c r="E133" s="191"/>
      <c r="F133" s="191"/>
    </row>
    <row r="134" spans="2:6" s="185" customFormat="1" x14ac:dyDescent="0.9">
      <c r="B134" s="191"/>
      <c r="C134" s="191"/>
      <c r="D134" s="191"/>
      <c r="E134" s="191"/>
      <c r="F134" s="191"/>
    </row>
    <row r="135" spans="2:6" s="185" customFormat="1" x14ac:dyDescent="0.9">
      <c r="B135" s="191"/>
      <c r="C135" s="191"/>
      <c r="D135" s="191"/>
      <c r="E135" s="191"/>
      <c r="F135" s="191"/>
    </row>
    <row r="136" spans="2:6" s="185" customFormat="1" x14ac:dyDescent="0.9">
      <c r="B136" s="191"/>
      <c r="C136" s="191"/>
      <c r="D136" s="191"/>
      <c r="E136" s="191"/>
      <c r="F136" s="191"/>
    </row>
    <row r="137" spans="2:6" s="185" customFormat="1" x14ac:dyDescent="0.9">
      <c r="B137" s="191"/>
      <c r="C137" s="191"/>
      <c r="D137" s="191"/>
      <c r="E137" s="191"/>
      <c r="F137" s="191"/>
    </row>
    <row r="138" spans="2:6" s="185" customFormat="1" x14ac:dyDescent="0.9">
      <c r="B138" s="191"/>
      <c r="C138" s="191"/>
      <c r="D138" s="191"/>
      <c r="E138" s="191"/>
      <c r="F138" s="191"/>
    </row>
    <row r="139" spans="2:6" s="185" customFormat="1" x14ac:dyDescent="0.9">
      <c r="B139" s="191"/>
      <c r="C139" s="191"/>
      <c r="D139" s="191"/>
      <c r="E139" s="191"/>
      <c r="F139" s="191"/>
    </row>
    <row r="140" spans="2:6" s="185" customFormat="1" x14ac:dyDescent="0.9">
      <c r="B140" s="191"/>
      <c r="C140" s="191"/>
      <c r="D140" s="191"/>
      <c r="E140" s="191"/>
      <c r="F140" s="191"/>
    </row>
    <row r="141" spans="2:6" s="185" customFormat="1" x14ac:dyDescent="0.9">
      <c r="B141" s="191"/>
      <c r="C141" s="191"/>
      <c r="D141" s="191"/>
      <c r="E141" s="191"/>
      <c r="F141" s="191"/>
    </row>
    <row r="142" spans="2:6" s="185" customFormat="1" x14ac:dyDescent="0.9">
      <c r="B142" s="191"/>
      <c r="C142" s="191"/>
      <c r="D142" s="191"/>
      <c r="E142" s="191"/>
      <c r="F142" s="191"/>
    </row>
    <row r="143" spans="2:6" s="185" customFormat="1" x14ac:dyDescent="0.9">
      <c r="B143" s="191"/>
      <c r="C143" s="191"/>
      <c r="D143" s="191"/>
      <c r="E143" s="191"/>
      <c r="F143" s="191"/>
    </row>
    <row r="144" spans="2:6" s="185" customFormat="1" x14ac:dyDescent="0.9">
      <c r="B144" s="191"/>
      <c r="C144" s="191"/>
      <c r="D144" s="191"/>
      <c r="E144" s="191"/>
      <c r="F144" s="191"/>
    </row>
    <row r="145" spans="2:6" s="185" customFormat="1" x14ac:dyDescent="0.9">
      <c r="B145" s="191"/>
      <c r="C145" s="191"/>
      <c r="D145" s="191"/>
      <c r="E145" s="191"/>
      <c r="F145" s="191"/>
    </row>
    <row r="146" spans="2:6" s="185" customFormat="1" x14ac:dyDescent="0.9">
      <c r="B146" s="191"/>
      <c r="C146" s="191"/>
      <c r="D146" s="191"/>
      <c r="E146" s="191"/>
      <c r="F146" s="191"/>
    </row>
    <row r="147" spans="2:6" s="185" customFormat="1" x14ac:dyDescent="0.9">
      <c r="B147" s="191"/>
      <c r="C147" s="191"/>
      <c r="D147" s="191"/>
      <c r="E147" s="191"/>
      <c r="F147" s="191"/>
    </row>
    <row r="148" spans="2:6" s="185" customFormat="1" x14ac:dyDescent="0.9">
      <c r="B148" s="191"/>
      <c r="C148" s="191"/>
      <c r="D148" s="191"/>
      <c r="E148" s="191"/>
      <c r="F148" s="191"/>
    </row>
    <row r="149" spans="2:6" s="185" customFormat="1" x14ac:dyDescent="0.9">
      <c r="B149" s="191"/>
      <c r="C149" s="191"/>
      <c r="D149" s="191"/>
      <c r="E149" s="191"/>
      <c r="F149" s="191"/>
    </row>
    <row r="150" spans="2:6" s="185" customFormat="1" x14ac:dyDescent="0.9">
      <c r="B150" s="191"/>
      <c r="C150" s="191"/>
      <c r="D150" s="191"/>
      <c r="E150" s="191"/>
      <c r="F150" s="191"/>
    </row>
    <row r="151" spans="2:6" s="185" customFormat="1" x14ac:dyDescent="0.9">
      <c r="B151" s="191"/>
      <c r="C151" s="191"/>
      <c r="D151" s="191"/>
      <c r="E151" s="191"/>
      <c r="F151" s="191"/>
    </row>
    <row r="152" spans="2:6" s="185" customFormat="1" x14ac:dyDescent="0.9">
      <c r="B152" s="191"/>
      <c r="C152" s="191"/>
      <c r="D152" s="191"/>
      <c r="E152" s="191"/>
      <c r="F152" s="191"/>
    </row>
    <row r="153" spans="2:6" s="185" customFormat="1" x14ac:dyDescent="0.9">
      <c r="B153" s="191"/>
      <c r="C153" s="191"/>
      <c r="D153" s="191"/>
      <c r="E153" s="191"/>
      <c r="F153" s="191"/>
    </row>
    <row r="154" spans="2:6" s="185" customFormat="1" x14ac:dyDescent="0.9">
      <c r="B154" s="191"/>
      <c r="C154" s="191"/>
      <c r="D154" s="191"/>
      <c r="E154" s="191"/>
      <c r="F154" s="191"/>
    </row>
    <row r="155" spans="2:6" s="185" customFormat="1" x14ac:dyDescent="0.9">
      <c r="B155" s="191"/>
      <c r="C155" s="191"/>
      <c r="D155" s="191"/>
      <c r="E155" s="191"/>
      <c r="F155" s="191"/>
    </row>
    <row r="156" spans="2:6" s="185" customFormat="1" x14ac:dyDescent="0.9">
      <c r="B156" s="191"/>
      <c r="C156" s="191"/>
      <c r="D156" s="191"/>
      <c r="E156" s="191"/>
      <c r="F156" s="191"/>
    </row>
    <row r="157" spans="2:6" s="185" customFormat="1" x14ac:dyDescent="0.9">
      <c r="B157" s="191"/>
      <c r="C157" s="191"/>
      <c r="D157" s="191"/>
      <c r="E157" s="191"/>
      <c r="F157" s="191"/>
    </row>
    <row r="158" spans="2:6" s="185" customFormat="1" x14ac:dyDescent="0.9">
      <c r="B158" s="191"/>
      <c r="C158" s="191"/>
      <c r="D158" s="191"/>
      <c r="E158" s="191"/>
      <c r="F158" s="191"/>
    </row>
    <row r="159" spans="2:6" s="185" customFormat="1" x14ac:dyDescent="0.9">
      <c r="B159" s="191"/>
      <c r="C159" s="191"/>
      <c r="D159" s="191"/>
      <c r="E159" s="191"/>
      <c r="F159" s="191"/>
    </row>
    <row r="160" spans="2:6" s="185" customFormat="1" x14ac:dyDescent="0.9">
      <c r="B160" s="191"/>
      <c r="C160" s="191"/>
      <c r="D160" s="191"/>
      <c r="E160" s="191"/>
      <c r="F160" s="191"/>
    </row>
    <row r="161" spans="2:6" s="185" customFormat="1" x14ac:dyDescent="0.9">
      <c r="B161" s="191"/>
      <c r="C161" s="191"/>
      <c r="D161" s="191"/>
      <c r="E161" s="191"/>
      <c r="F161" s="191"/>
    </row>
    <row r="162" spans="2:6" s="185" customFormat="1" x14ac:dyDescent="0.9">
      <c r="B162" s="191"/>
      <c r="C162" s="191"/>
      <c r="D162" s="191"/>
      <c r="E162" s="191"/>
      <c r="F162" s="191"/>
    </row>
    <row r="163" spans="2:6" s="185" customFormat="1" x14ac:dyDescent="0.9">
      <c r="B163" s="191"/>
      <c r="C163" s="191"/>
      <c r="D163" s="191"/>
      <c r="E163" s="191"/>
      <c r="F163" s="191"/>
    </row>
    <row r="164" spans="2:6" s="185" customFormat="1" x14ac:dyDescent="0.9">
      <c r="B164" s="191"/>
      <c r="C164" s="191"/>
      <c r="D164" s="191"/>
      <c r="E164" s="191"/>
      <c r="F164" s="191"/>
    </row>
    <row r="165" spans="2:6" s="185" customFormat="1" x14ac:dyDescent="0.9">
      <c r="B165" s="191"/>
      <c r="C165" s="191"/>
      <c r="D165" s="191"/>
      <c r="E165" s="191"/>
      <c r="F165" s="191"/>
    </row>
    <row r="166" spans="2:6" s="185" customFormat="1" x14ac:dyDescent="0.9">
      <c r="B166" s="191"/>
      <c r="C166" s="191"/>
      <c r="D166" s="191"/>
      <c r="E166" s="191"/>
      <c r="F166" s="191"/>
    </row>
    <row r="167" spans="2:6" s="185" customFormat="1" x14ac:dyDescent="0.9">
      <c r="B167" s="191"/>
      <c r="C167" s="191"/>
      <c r="D167" s="191"/>
      <c r="E167" s="191"/>
      <c r="F167" s="191"/>
    </row>
    <row r="168" spans="2:6" s="185" customFormat="1" x14ac:dyDescent="0.9">
      <c r="B168" s="191"/>
      <c r="C168" s="191"/>
      <c r="D168" s="191"/>
      <c r="E168" s="191"/>
      <c r="F168" s="191"/>
    </row>
    <row r="169" spans="2:6" s="185" customFormat="1" x14ac:dyDescent="0.9">
      <c r="B169" s="191"/>
      <c r="C169" s="191"/>
      <c r="D169" s="191"/>
      <c r="E169" s="191"/>
      <c r="F169" s="191"/>
    </row>
    <row r="170" spans="2:6" s="185" customFormat="1" x14ac:dyDescent="0.9">
      <c r="B170" s="191"/>
      <c r="C170" s="191"/>
      <c r="D170" s="191"/>
      <c r="E170" s="191"/>
      <c r="F170" s="191"/>
    </row>
    <row r="171" spans="2:6" s="185" customFormat="1" x14ac:dyDescent="0.9">
      <c r="B171" s="191"/>
      <c r="C171" s="191"/>
      <c r="D171" s="191"/>
      <c r="E171" s="191"/>
      <c r="F171" s="191"/>
    </row>
    <row r="172" spans="2:6" s="185" customFormat="1" x14ac:dyDescent="0.9">
      <c r="B172" s="191"/>
      <c r="C172" s="191"/>
      <c r="D172" s="191"/>
      <c r="E172" s="191"/>
      <c r="F172" s="191"/>
    </row>
    <row r="173" spans="2:6" s="185" customFormat="1" x14ac:dyDescent="0.9">
      <c r="B173" s="191"/>
      <c r="C173" s="191"/>
      <c r="D173" s="191"/>
      <c r="E173" s="191"/>
      <c r="F173" s="191"/>
    </row>
    <row r="174" spans="2:6" s="185" customFormat="1" x14ac:dyDescent="0.9">
      <c r="B174" s="191"/>
      <c r="C174" s="191"/>
      <c r="D174" s="191"/>
      <c r="E174" s="191"/>
      <c r="F174" s="191"/>
    </row>
    <row r="175" spans="2:6" s="185" customFormat="1" x14ac:dyDescent="0.9">
      <c r="B175" s="191"/>
      <c r="C175" s="191"/>
      <c r="D175" s="191"/>
      <c r="E175" s="191"/>
      <c r="F175" s="191"/>
    </row>
    <row r="176" spans="2:6" s="185" customFormat="1" x14ac:dyDescent="0.9">
      <c r="B176" s="191"/>
      <c r="C176" s="191"/>
      <c r="D176" s="191"/>
      <c r="E176" s="191"/>
      <c r="F176" s="191"/>
    </row>
    <row r="177" spans="2:6" s="185" customFormat="1" x14ac:dyDescent="0.9">
      <c r="B177" s="191"/>
      <c r="C177" s="191"/>
      <c r="D177" s="191"/>
      <c r="E177" s="191"/>
      <c r="F177" s="191"/>
    </row>
    <row r="178" spans="2:6" s="185" customFormat="1" x14ac:dyDescent="0.9">
      <c r="B178" s="191"/>
      <c r="C178" s="191"/>
      <c r="D178" s="191"/>
      <c r="E178" s="191"/>
      <c r="F178" s="191"/>
    </row>
    <row r="179" spans="2:6" s="185" customFormat="1" x14ac:dyDescent="0.9">
      <c r="B179" s="191"/>
      <c r="C179" s="191"/>
      <c r="D179" s="191"/>
      <c r="E179" s="191"/>
      <c r="F179" s="191"/>
    </row>
    <row r="180" spans="2:6" s="185" customFormat="1" x14ac:dyDescent="0.9">
      <c r="B180" s="191"/>
      <c r="C180" s="191"/>
      <c r="D180" s="191"/>
      <c r="E180" s="191"/>
      <c r="F180" s="191"/>
    </row>
    <row r="181" spans="2:6" s="185" customFormat="1" x14ac:dyDescent="0.9">
      <c r="B181" s="191"/>
      <c r="C181" s="191"/>
      <c r="D181" s="191"/>
      <c r="E181" s="191"/>
      <c r="F181" s="191"/>
    </row>
    <row r="182" spans="2:6" s="185" customFormat="1" x14ac:dyDescent="0.9">
      <c r="B182" s="191"/>
      <c r="C182" s="191"/>
      <c r="D182" s="191"/>
      <c r="E182" s="191"/>
      <c r="F182" s="191"/>
    </row>
    <row r="183" spans="2:6" s="185" customFormat="1" x14ac:dyDescent="0.9">
      <c r="B183" s="191"/>
      <c r="C183" s="191"/>
      <c r="D183" s="191"/>
      <c r="E183" s="191"/>
      <c r="F183" s="191"/>
    </row>
    <row r="184" spans="2:6" s="185" customFormat="1" x14ac:dyDescent="0.9">
      <c r="B184" s="191"/>
      <c r="C184" s="191"/>
      <c r="D184" s="191"/>
      <c r="E184" s="191"/>
      <c r="F184" s="191"/>
    </row>
    <row r="185" spans="2:6" s="185" customFormat="1" x14ac:dyDescent="0.9">
      <c r="B185" s="191"/>
      <c r="C185" s="191"/>
      <c r="D185" s="191"/>
      <c r="E185" s="191"/>
      <c r="F185" s="191"/>
    </row>
    <row r="186" spans="2:6" s="185" customFormat="1" x14ac:dyDescent="0.9">
      <c r="B186" s="191"/>
      <c r="C186" s="191"/>
      <c r="D186" s="191"/>
      <c r="E186" s="191"/>
      <c r="F186" s="191"/>
    </row>
    <row r="187" spans="2:6" s="185" customFormat="1" x14ac:dyDescent="0.9">
      <c r="B187" s="191"/>
      <c r="C187" s="191"/>
      <c r="D187" s="191"/>
      <c r="E187" s="191"/>
      <c r="F187" s="191"/>
    </row>
    <row r="188" spans="2:6" s="185" customFormat="1" x14ac:dyDescent="0.9">
      <c r="B188" s="191"/>
      <c r="C188" s="191"/>
      <c r="D188" s="191"/>
      <c r="E188" s="191"/>
      <c r="F188" s="191"/>
    </row>
    <row r="189" spans="2:6" s="185" customFormat="1" x14ac:dyDescent="0.9">
      <c r="B189" s="191"/>
      <c r="C189" s="191"/>
      <c r="D189" s="191"/>
      <c r="E189" s="191"/>
      <c r="F189" s="191"/>
    </row>
    <row r="190" spans="2:6" s="185" customFormat="1" x14ac:dyDescent="0.9">
      <c r="B190" s="191"/>
      <c r="C190" s="191"/>
      <c r="D190" s="191"/>
      <c r="E190" s="191"/>
      <c r="F190" s="191"/>
    </row>
    <row r="191" spans="2:6" s="185" customFormat="1" x14ac:dyDescent="0.9">
      <c r="B191" s="191"/>
      <c r="C191" s="191"/>
      <c r="D191" s="191"/>
      <c r="E191" s="191"/>
      <c r="F191" s="191"/>
    </row>
    <row r="192" spans="2:6" s="185" customFormat="1" x14ac:dyDescent="0.9">
      <c r="B192" s="191"/>
      <c r="C192" s="191"/>
      <c r="D192" s="191"/>
      <c r="E192" s="191"/>
      <c r="F192" s="191"/>
    </row>
    <row r="193" spans="2:6" s="185" customFormat="1" x14ac:dyDescent="0.9">
      <c r="B193" s="191"/>
      <c r="C193" s="191"/>
      <c r="D193" s="191"/>
      <c r="E193" s="191"/>
      <c r="F193" s="191"/>
    </row>
    <row r="194" spans="2:6" s="185" customFormat="1" x14ac:dyDescent="0.9">
      <c r="B194" s="191"/>
      <c r="C194" s="191"/>
      <c r="D194" s="191"/>
      <c r="E194" s="191"/>
      <c r="F194" s="191"/>
    </row>
    <row r="195" spans="2:6" s="185" customFormat="1" x14ac:dyDescent="0.9">
      <c r="B195" s="191"/>
      <c r="C195" s="191"/>
      <c r="D195" s="191"/>
      <c r="E195" s="191"/>
      <c r="F195" s="191"/>
    </row>
    <row r="196" spans="2:6" s="185" customFormat="1" x14ac:dyDescent="0.9">
      <c r="B196" s="191"/>
      <c r="C196" s="191"/>
      <c r="D196" s="191"/>
      <c r="E196" s="191"/>
      <c r="F196" s="191"/>
    </row>
    <row r="197" spans="2:6" s="185" customFormat="1" x14ac:dyDescent="0.9">
      <c r="B197" s="191"/>
      <c r="C197" s="191"/>
      <c r="D197" s="191"/>
      <c r="E197" s="191"/>
      <c r="F197" s="191"/>
    </row>
    <row r="198" spans="2:6" s="185" customFormat="1" x14ac:dyDescent="0.9">
      <c r="B198" s="191"/>
      <c r="C198" s="191"/>
      <c r="D198" s="191"/>
      <c r="E198" s="191"/>
      <c r="F198" s="191"/>
    </row>
    <row r="199" spans="2:6" s="185" customFormat="1" x14ac:dyDescent="0.9">
      <c r="B199" s="191"/>
      <c r="C199" s="191"/>
      <c r="D199" s="191"/>
      <c r="E199" s="191"/>
      <c r="F199" s="191"/>
    </row>
    <row r="200" spans="2:6" s="185" customFormat="1" x14ac:dyDescent="0.9">
      <c r="B200" s="191"/>
      <c r="C200" s="191"/>
      <c r="D200" s="191"/>
      <c r="E200" s="191"/>
      <c r="F200" s="191"/>
    </row>
    <row r="201" spans="2:6" s="185" customFormat="1" x14ac:dyDescent="0.9">
      <c r="B201" s="191"/>
      <c r="C201" s="191"/>
      <c r="D201" s="191"/>
      <c r="E201" s="191"/>
      <c r="F201" s="191"/>
    </row>
    <row r="202" spans="2:6" s="185" customFormat="1" x14ac:dyDescent="0.9">
      <c r="B202" s="191"/>
      <c r="C202" s="191"/>
      <c r="D202" s="191"/>
      <c r="E202" s="191"/>
      <c r="F202" s="191"/>
    </row>
    <row r="203" spans="2:6" s="185" customFormat="1" x14ac:dyDescent="0.9">
      <c r="B203" s="191"/>
      <c r="C203" s="191"/>
      <c r="D203" s="191"/>
      <c r="E203" s="191"/>
      <c r="F203" s="191"/>
    </row>
    <row r="204" spans="2:6" s="185" customFormat="1" x14ac:dyDescent="0.9">
      <c r="B204" s="191"/>
      <c r="C204" s="191"/>
      <c r="D204" s="191"/>
      <c r="E204" s="191"/>
      <c r="F204" s="191"/>
    </row>
    <row r="205" spans="2:6" s="185" customFormat="1" x14ac:dyDescent="0.9">
      <c r="B205" s="191"/>
      <c r="C205" s="191"/>
      <c r="D205" s="191"/>
      <c r="E205" s="191"/>
      <c r="F205" s="191"/>
    </row>
    <row r="206" spans="2:6" s="185" customFormat="1" x14ac:dyDescent="0.9">
      <c r="B206" s="191"/>
      <c r="C206" s="191"/>
      <c r="D206" s="191"/>
      <c r="E206" s="191"/>
      <c r="F206" s="191"/>
    </row>
    <row r="207" spans="2:6" s="185" customFormat="1" x14ac:dyDescent="0.9">
      <c r="B207" s="191"/>
      <c r="C207" s="191"/>
      <c r="D207" s="191"/>
      <c r="E207" s="191"/>
      <c r="F207" s="191"/>
    </row>
    <row r="208" spans="2:6" s="185" customFormat="1" x14ac:dyDescent="0.9">
      <c r="B208" s="191"/>
      <c r="C208" s="191"/>
      <c r="D208" s="191"/>
      <c r="E208" s="191"/>
      <c r="F208" s="191"/>
    </row>
    <row r="209" spans="2:6" s="185" customFormat="1" x14ac:dyDescent="0.9">
      <c r="B209" s="191"/>
      <c r="C209" s="191"/>
      <c r="D209" s="191"/>
      <c r="E209" s="191"/>
      <c r="F209" s="191"/>
    </row>
    <row r="210" spans="2:6" s="185" customFormat="1" x14ac:dyDescent="0.9">
      <c r="B210" s="191"/>
      <c r="C210" s="191"/>
      <c r="D210" s="191"/>
      <c r="E210" s="191"/>
      <c r="F210" s="191"/>
    </row>
    <row r="211" spans="2:6" s="185" customFormat="1" x14ac:dyDescent="0.9">
      <c r="B211" s="191"/>
      <c r="C211" s="191"/>
      <c r="D211" s="191"/>
      <c r="E211" s="191"/>
      <c r="F211" s="191"/>
    </row>
    <row r="212" spans="2:6" s="185" customFormat="1" x14ac:dyDescent="0.9">
      <c r="B212" s="191"/>
      <c r="C212" s="191"/>
      <c r="D212" s="191"/>
      <c r="E212" s="191"/>
      <c r="F212" s="191"/>
    </row>
    <row r="213" spans="2:6" s="185" customFormat="1" x14ac:dyDescent="0.9">
      <c r="B213" s="191"/>
      <c r="C213" s="191"/>
      <c r="D213" s="191"/>
      <c r="E213" s="191"/>
      <c r="F213" s="191"/>
    </row>
    <row r="214" spans="2:6" s="185" customFormat="1" x14ac:dyDescent="0.9">
      <c r="B214" s="191"/>
      <c r="C214" s="191"/>
      <c r="D214" s="191"/>
      <c r="E214" s="191"/>
      <c r="F214" s="191"/>
    </row>
    <row r="215" spans="2:6" s="185" customFormat="1" x14ac:dyDescent="0.9">
      <c r="B215" s="191"/>
      <c r="C215" s="191"/>
      <c r="D215" s="191"/>
      <c r="E215" s="191"/>
      <c r="F215" s="191"/>
    </row>
    <row r="216" spans="2:6" s="185" customFormat="1" x14ac:dyDescent="0.9">
      <c r="B216" s="191"/>
      <c r="C216" s="191"/>
      <c r="D216" s="191"/>
      <c r="E216" s="191"/>
      <c r="F216" s="191"/>
    </row>
    <row r="217" spans="2:6" s="185" customFormat="1" x14ac:dyDescent="0.9">
      <c r="B217" s="191"/>
      <c r="C217" s="191"/>
      <c r="D217" s="191"/>
      <c r="E217" s="191"/>
      <c r="F217" s="191"/>
    </row>
    <row r="218" spans="2:6" s="185" customFormat="1" x14ac:dyDescent="0.9">
      <c r="B218" s="191"/>
      <c r="C218" s="191"/>
      <c r="D218" s="191"/>
      <c r="E218" s="191"/>
      <c r="F218" s="191"/>
    </row>
    <row r="219" spans="2:6" s="185" customFormat="1" x14ac:dyDescent="0.9">
      <c r="B219" s="191"/>
      <c r="C219" s="191"/>
      <c r="D219" s="191"/>
      <c r="E219" s="191"/>
      <c r="F219" s="191"/>
    </row>
    <row r="220" spans="2:6" s="185" customFormat="1" x14ac:dyDescent="0.9">
      <c r="B220" s="191"/>
      <c r="C220" s="191"/>
      <c r="D220" s="191"/>
      <c r="E220" s="191"/>
      <c r="F220" s="191"/>
    </row>
    <row r="221" spans="2:6" s="185" customFormat="1" x14ac:dyDescent="0.9">
      <c r="B221" s="191"/>
      <c r="C221" s="191"/>
      <c r="D221" s="191"/>
      <c r="E221" s="191"/>
      <c r="F221" s="191"/>
    </row>
    <row r="222" spans="2:6" s="185" customFormat="1" x14ac:dyDescent="0.9">
      <c r="B222" s="191"/>
      <c r="C222" s="191"/>
      <c r="D222" s="191"/>
      <c r="E222" s="191"/>
      <c r="F222" s="191"/>
    </row>
    <row r="223" spans="2:6" s="185" customFormat="1" x14ac:dyDescent="0.9">
      <c r="B223" s="191"/>
      <c r="C223" s="191"/>
      <c r="D223" s="191"/>
      <c r="E223" s="191"/>
      <c r="F223" s="191"/>
    </row>
    <row r="224" spans="2:6" s="185" customFormat="1" x14ac:dyDescent="0.9">
      <c r="B224" s="191"/>
      <c r="C224" s="191"/>
      <c r="D224" s="191"/>
      <c r="E224" s="191"/>
      <c r="F224" s="191"/>
    </row>
    <row r="225" spans="2:6" s="185" customFormat="1" x14ac:dyDescent="0.9">
      <c r="B225" s="191"/>
      <c r="C225" s="191"/>
      <c r="D225" s="191"/>
      <c r="E225" s="191"/>
      <c r="F225" s="191"/>
    </row>
    <row r="226" spans="2:6" s="185" customFormat="1" x14ac:dyDescent="0.9">
      <c r="B226" s="191"/>
      <c r="C226" s="191"/>
      <c r="D226" s="191"/>
      <c r="E226" s="191"/>
      <c r="F226" s="191"/>
    </row>
    <row r="227" spans="2:6" s="185" customFormat="1" x14ac:dyDescent="0.9">
      <c r="B227" s="191"/>
      <c r="C227" s="191"/>
      <c r="D227" s="191"/>
      <c r="E227" s="191"/>
      <c r="F227" s="191"/>
    </row>
    <row r="228" spans="2:6" s="185" customFormat="1" x14ac:dyDescent="0.9">
      <c r="B228" s="191"/>
      <c r="C228" s="191"/>
      <c r="D228" s="191"/>
      <c r="E228" s="191"/>
      <c r="F228" s="191"/>
    </row>
    <row r="229" spans="2:6" s="185" customFormat="1" x14ac:dyDescent="0.9">
      <c r="B229" s="191"/>
      <c r="C229" s="191"/>
      <c r="D229" s="191"/>
      <c r="E229" s="191"/>
      <c r="F229" s="191"/>
    </row>
    <row r="230" spans="2:6" s="185" customFormat="1" x14ac:dyDescent="0.9">
      <c r="B230" s="191"/>
      <c r="C230" s="191"/>
      <c r="D230" s="191"/>
      <c r="E230" s="191"/>
      <c r="F230" s="191"/>
    </row>
    <row r="231" spans="2:6" s="185" customFormat="1" x14ac:dyDescent="0.9">
      <c r="B231" s="191"/>
      <c r="C231" s="191"/>
      <c r="D231" s="191"/>
      <c r="E231" s="191"/>
      <c r="F231" s="191"/>
    </row>
    <row r="232" spans="2:6" s="185" customFormat="1" x14ac:dyDescent="0.9">
      <c r="B232" s="191"/>
      <c r="C232" s="191"/>
      <c r="D232" s="191"/>
      <c r="E232" s="191"/>
      <c r="F232" s="191"/>
    </row>
    <row r="233" spans="2:6" s="185" customFormat="1" x14ac:dyDescent="0.9">
      <c r="B233" s="191"/>
      <c r="C233" s="191"/>
      <c r="D233" s="191"/>
      <c r="E233" s="191"/>
      <c r="F233" s="191"/>
    </row>
    <row r="234" spans="2:6" s="185" customFormat="1" x14ac:dyDescent="0.9">
      <c r="B234" s="191"/>
      <c r="C234" s="191"/>
      <c r="D234" s="191"/>
      <c r="E234" s="191"/>
      <c r="F234" s="191"/>
    </row>
    <row r="235" spans="2:6" s="185" customFormat="1" x14ac:dyDescent="0.9">
      <c r="B235" s="191"/>
      <c r="C235" s="191"/>
      <c r="D235" s="191"/>
      <c r="E235" s="191"/>
      <c r="F235" s="191"/>
    </row>
    <row r="236" spans="2:6" s="185" customFormat="1" x14ac:dyDescent="0.9">
      <c r="B236" s="191"/>
      <c r="C236" s="191"/>
      <c r="D236" s="191"/>
      <c r="E236" s="191"/>
      <c r="F236" s="191"/>
    </row>
    <row r="237" spans="2:6" s="185" customFormat="1" x14ac:dyDescent="0.9">
      <c r="B237" s="191"/>
      <c r="C237" s="191"/>
      <c r="D237" s="191"/>
      <c r="E237" s="191"/>
      <c r="F237" s="191"/>
    </row>
    <row r="238" spans="2:6" s="185" customFormat="1" x14ac:dyDescent="0.9">
      <c r="B238" s="191"/>
      <c r="C238" s="191"/>
      <c r="D238" s="191"/>
      <c r="E238" s="191"/>
      <c r="F238" s="191"/>
    </row>
    <row r="239" spans="2:6" s="185" customFormat="1" x14ac:dyDescent="0.9">
      <c r="B239" s="191"/>
      <c r="C239" s="191"/>
      <c r="D239" s="191"/>
      <c r="E239" s="191"/>
      <c r="F239" s="191"/>
    </row>
    <row r="240" spans="2:6" s="185" customFormat="1" x14ac:dyDescent="0.9">
      <c r="B240" s="191"/>
      <c r="C240" s="191"/>
      <c r="D240" s="191"/>
      <c r="E240" s="191"/>
      <c r="F240" s="191"/>
    </row>
    <row r="241" spans="2:6" s="185" customFormat="1" x14ac:dyDescent="0.9">
      <c r="B241" s="191"/>
      <c r="C241" s="191"/>
      <c r="D241" s="191"/>
      <c r="E241" s="191"/>
      <c r="F241" s="191"/>
    </row>
    <row r="242" spans="2:6" s="185" customFormat="1" x14ac:dyDescent="0.9">
      <c r="B242" s="191"/>
      <c r="C242" s="191"/>
      <c r="D242" s="191"/>
      <c r="E242" s="191"/>
      <c r="F242" s="191"/>
    </row>
    <row r="243" spans="2:6" s="185" customFormat="1" x14ac:dyDescent="0.9">
      <c r="B243" s="191"/>
      <c r="C243" s="191"/>
      <c r="D243" s="191"/>
      <c r="E243" s="191"/>
      <c r="F243" s="191"/>
    </row>
    <row r="244" spans="2:6" s="185" customFormat="1" x14ac:dyDescent="0.9">
      <c r="B244" s="191"/>
      <c r="C244" s="191"/>
      <c r="D244" s="191"/>
      <c r="E244" s="191"/>
      <c r="F244" s="191"/>
    </row>
    <row r="245" spans="2:6" s="185" customFormat="1" x14ac:dyDescent="0.9">
      <c r="B245" s="191"/>
      <c r="C245" s="191"/>
      <c r="D245" s="191"/>
      <c r="E245" s="191"/>
      <c r="F245" s="191"/>
    </row>
    <row r="246" spans="2:6" s="185" customFormat="1" x14ac:dyDescent="0.9">
      <c r="B246" s="191"/>
      <c r="C246" s="191"/>
      <c r="D246" s="191"/>
      <c r="E246" s="191"/>
      <c r="F246" s="191"/>
    </row>
    <row r="247" spans="2:6" s="185" customFormat="1" x14ac:dyDescent="0.9">
      <c r="B247" s="191"/>
      <c r="C247" s="191"/>
      <c r="D247" s="191"/>
      <c r="E247" s="191"/>
      <c r="F247" s="191"/>
    </row>
    <row r="248" spans="2:6" s="185" customFormat="1" x14ac:dyDescent="0.9">
      <c r="B248" s="191"/>
      <c r="C248" s="191"/>
      <c r="D248" s="191"/>
      <c r="E248" s="191"/>
      <c r="F248" s="191"/>
    </row>
    <row r="249" spans="2:6" s="185" customFormat="1" x14ac:dyDescent="0.9">
      <c r="B249" s="191"/>
      <c r="C249" s="191"/>
      <c r="D249" s="191"/>
      <c r="E249" s="191"/>
      <c r="F249" s="191"/>
    </row>
    <row r="250" spans="2:6" s="185" customFormat="1" x14ac:dyDescent="0.9">
      <c r="B250" s="191"/>
      <c r="C250" s="191"/>
      <c r="D250" s="191"/>
      <c r="E250" s="191"/>
      <c r="F250" s="191"/>
    </row>
    <row r="251" spans="2:6" s="185" customFormat="1" x14ac:dyDescent="0.9">
      <c r="B251" s="191"/>
      <c r="C251" s="191"/>
      <c r="D251" s="191"/>
      <c r="E251" s="191"/>
      <c r="F251" s="191"/>
    </row>
    <row r="252" spans="2:6" s="185" customFormat="1" x14ac:dyDescent="0.9">
      <c r="B252" s="191"/>
      <c r="C252" s="191"/>
      <c r="D252" s="191"/>
      <c r="E252" s="191"/>
      <c r="F252" s="191"/>
    </row>
    <row r="253" spans="2:6" s="185" customFormat="1" x14ac:dyDescent="0.9">
      <c r="B253" s="191"/>
      <c r="C253" s="191"/>
      <c r="D253" s="191"/>
      <c r="E253" s="191"/>
      <c r="F253" s="191"/>
    </row>
    <row r="254" spans="2:6" s="185" customFormat="1" x14ac:dyDescent="0.9">
      <c r="B254" s="191"/>
      <c r="C254" s="191"/>
      <c r="D254" s="191"/>
      <c r="E254" s="191"/>
      <c r="F254" s="191"/>
    </row>
    <row r="255" spans="2:6" s="185" customFormat="1" x14ac:dyDescent="0.9">
      <c r="B255" s="191"/>
      <c r="C255" s="191"/>
      <c r="D255" s="191"/>
      <c r="E255" s="191"/>
      <c r="F255" s="191"/>
    </row>
    <row r="256" spans="2:6" s="185" customFormat="1" x14ac:dyDescent="0.9">
      <c r="B256" s="191"/>
      <c r="C256" s="191"/>
      <c r="D256" s="191"/>
      <c r="E256" s="191"/>
      <c r="F256" s="191"/>
    </row>
    <row r="257" spans="2:6" s="185" customFormat="1" x14ac:dyDescent="0.9">
      <c r="B257" s="191"/>
      <c r="C257" s="191"/>
      <c r="D257" s="191"/>
      <c r="E257" s="191"/>
      <c r="F257" s="191"/>
    </row>
    <row r="258" spans="2:6" s="185" customFormat="1" x14ac:dyDescent="0.9">
      <c r="B258" s="191"/>
      <c r="C258" s="191"/>
      <c r="D258" s="191"/>
      <c r="E258" s="191"/>
      <c r="F258" s="191"/>
    </row>
    <row r="259" spans="2:6" s="185" customFormat="1" x14ac:dyDescent="0.9">
      <c r="B259" s="191"/>
      <c r="C259" s="191"/>
      <c r="D259" s="191"/>
      <c r="E259" s="191"/>
      <c r="F259" s="191"/>
    </row>
    <row r="260" spans="2:6" s="185" customFormat="1" x14ac:dyDescent="0.9">
      <c r="B260" s="191"/>
      <c r="C260" s="191"/>
      <c r="D260" s="191"/>
      <c r="E260" s="191"/>
      <c r="F260" s="191"/>
    </row>
    <row r="261" spans="2:6" s="185" customFormat="1" x14ac:dyDescent="0.9">
      <c r="B261" s="191"/>
      <c r="C261" s="191"/>
      <c r="D261" s="191"/>
      <c r="E261" s="191"/>
      <c r="F261" s="191"/>
    </row>
    <row r="262" spans="2:6" s="185" customFormat="1" x14ac:dyDescent="0.9">
      <c r="B262" s="191"/>
      <c r="C262" s="191"/>
      <c r="D262" s="191"/>
      <c r="E262" s="191"/>
      <c r="F262" s="191"/>
    </row>
    <row r="263" spans="2:6" s="185" customFormat="1" x14ac:dyDescent="0.9">
      <c r="B263" s="191"/>
      <c r="C263" s="191"/>
      <c r="D263" s="191"/>
      <c r="E263" s="191"/>
      <c r="F263" s="191"/>
    </row>
    <row r="264" spans="2:6" s="185" customFormat="1" x14ac:dyDescent="0.9">
      <c r="B264" s="191"/>
      <c r="C264" s="191"/>
      <c r="D264" s="191"/>
      <c r="E264" s="191"/>
      <c r="F264" s="191"/>
    </row>
    <row r="265" spans="2:6" s="185" customFormat="1" x14ac:dyDescent="0.9">
      <c r="B265" s="191"/>
      <c r="C265" s="191"/>
      <c r="D265" s="191"/>
      <c r="E265" s="191"/>
      <c r="F265" s="191"/>
    </row>
    <row r="266" spans="2:6" s="185" customFormat="1" x14ac:dyDescent="0.9">
      <c r="B266" s="191"/>
      <c r="C266" s="191"/>
      <c r="D266" s="191"/>
      <c r="E266" s="191"/>
      <c r="F266" s="191"/>
    </row>
    <row r="267" spans="2:6" s="185" customFormat="1" x14ac:dyDescent="0.9">
      <c r="B267" s="191"/>
      <c r="C267" s="191"/>
      <c r="D267" s="191"/>
      <c r="E267" s="191"/>
      <c r="F267" s="191"/>
    </row>
    <row r="268" spans="2:6" s="185" customFormat="1" x14ac:dyDescent="0.9">
      <c r="B268" s="191"/>
      <c r="C268" s="191"/>
      <c r="D268" s="191"/>
      <c r="E268" s="191"/>
      <c r="F268" s="191"/>
    </row>
    <row r="269" spans="2:6" s="185" customFormat="1" x14ac:dyDescent="0.9">
      <c r="B269" s="191"/>
      <c r="C269" s="191"/>
      <c r="D269" s="191"/>
      <c r="E269" s="191"/>
      <c r="F269" s="191"/>
    </row>
    <row r="270" spans="2:6" s="185" customFormat="1" x14ac:dyDescent="0.9">
      <c r="B270" s="191"/>
      <c r="C270" s="191"/>
      <c r="D270" s="191"/>
      <c r="E270" s="191"/>
      <c r="F270" s="191"/>
    </row>
    <row r="271" spans="2:6" s="185" customFormat="1" x14ac:dyDescent="0.9">
      <c r="B271" s="191"/>
      <c r="C271" s="191"/>
      <c r="D271" s="191"/>
      <c r="E271" s="191"/>
      <c r="F271" s="191"/>
    </row>
    <row r="272" spans="2:6" s="185" customFormat="1" x14ac:dyDescent="0.9">
      <c r="B272" s="191"/>
      <c r="C272" s="191"/>
      <c r="D272" s="191"/>
      <c r="E272" s="191"/>
      <c r="F272" s="191"/>
    </row>
    <row r="273" spans="2:6" s="185" customFormat="1" x14ac:dyDescent="0.9">
      <c r="B273" s="191"/>
      <c r="C273" s="191"/>
      <c r="D273" s="191"/>
      <c r="E273" s="191"/>
      <c r="F273" s="191"/>
    </row>
    <row r="274" spans="2:6" s="185" customFormat="1" x14ac:dyDescent="0.9">
      <c r="B274" s="191"/>
      <c r="C274" s="191"/>
      <c r="D274" s="191"/>
      <c r="E274" s="191"/>
      <c r="F274" s="191"/>
    </row>
    <row r="275" spans="2:6" s="185" customFormat="1" x14ac:dyDescent="0.9">
      <c r="B275" s="191"/>
      <c r="C275" s="191"/>
      <c r="D275" s="191"/>
      <c r="E275" s="191"/>
      <c r="F275" s="191"/>
    </row>
    <row r="276" spans="2:6" s="185" customFormat="1" x14ac:dyDescent="0.9">
      <c r="B276" s="191"/>
      <c r="C276" s="191"/>
      <c r="D276" s="191"/>
      <c r="E276" s="191"/>
      <c r="F276" s="191"/>
    </row>
    <row r="277" spans="2:6" s="185" customFormat="1" x14ac:dyDescent="0.9">
      <c r="B277" s="191"/>
      <c r="C277" s="191"/>
      <c r="D277" s="191"/>
      <c r="E277" s="191"/>
      <c r="F277" s="191"/>
    </row>
    <row r="278" spans="2:6" s="185" customFormat="1" x14ac:dyDescent="0.9">
      <c r="B278" s="191"/>
      <c r="C278" s="191"/>
      <c r="D278" s="191"/>
      <c r="E278" s="191"/>
      <c r="F278" s="191"/>
    </row>
    <row r="279" spans="2:6" s="185" customFormat="1" x14ac:dyDescent="0.9">
      <c r="B279" s="191"/>
      <c r="C279" s="191"/>
      <c r="D279" s="191"/>
      <c r="E279" s="191"/>
      <c r="F279" s="191"/>
    </row>
    <row r="280" spans="2:6" s="185" customFormat="1" x14ac:dyDescent="0.9">
      <c r="B280" s="191"/>
      <c r="C280" s="191"/>
      <c r="D280" s="191"/>
      <c r="E280" s="191"/>
      <c r="F280" s="191"/>
    </row>
    <row r="281" spans="2:6" s="185" customFormat="1" x14ac:dyDescent="0.9">
      <c r="B281" s="191"/>
      <c r="C281" s="191"/>
      <c r="D281" s="191"/>
      <c r="E281" s="191"/>
      <c r="F281" s="191"/>
    </row>
    <row r="282" spans="2:6" s="185" customFormat="1" x14ac:dyDescent="0.9">
      <c r="B282" s="191"/>
      <c r="C282" s="191"/>
      <c r="D282" s="191"/>
      <c r="E282" s="191"/>
      <c r="F282" s="191"/>
    </row>
    <row r="283" spans="2:6" s="185" customFormat="1" x14ac:dyDescent="0.9">
      <c r="B283" s="191"/>
      <c r="C283" s="191"/>
      <c r="D283" s="191"/>
      <c r="E283" s="191"/>
      <c r="F283" s="191"/>
    </row>
    <row r="284" spans="2:6" s="185" customFormat="1" x14ac:dyDescent="0.9">
      <c r="B284" s="191"/>
      <c r="C284" s="191"/>
      <c r="D284" s="191"/>
      <c r="E284" s="191"/>
      <c r="F284" s="191"/>
    </row>
    <row r="285" spans="2:6" s="185" customFormat="1" x14ac:dyDescent="0.9">
      <c r="B285" s="191"/>
      <c r="C285" s="191"/>
      <c r="D285" s="191"/>
      <c r="E285" s="191"/>
      <c r="F285" s="191"/>
    </row>
    <row r="286" spans="2:6" s="185" customFormat="1" x14ac:dyDescent="0.9">
      <c r="B286" s="191"/>
      <c r="C286" s="191"/>
      <c r="D286" s="191"/>
      <c r="E286" s="191"/>
      <c r="F286" s="191"/>
    </row>
    <row r="287" spans="2:6" s="185" customFormat="1" x14ac:dyDescent="0.9">
      <c r="B287" s="191"/>
      <c r="C287" s="191"/>
      <c r="D287" s="191"/>
      <c r="E287" s="191"/>
      <c r="F287" s="191"/>
    </row>
    <row r="288" spans="2:6" s="185" customFormat="1" x14ac:dyDescent="0.9">
      <c r="B288" s="191"/>
      <c r="C288" s="191"/>
      <c r="D288" s="191"/>
      <c r="E288" s="191"/>
      <c r="F288" s="191"/>
    </row>
    <row r="289" spans="2:6" s="185" customFormat="1" x14ac:dyDescent="0.9">
      <c r="B289" s="191"/>
      <c r="C289" s="191"/>
      <c r="D289" s="191"/>
      <c r="E289" s="191"/>
      <c r="F289" s="191"/>
    </row>
    <row r="290" spans="2:6" s="185" customFormat="1" x14ac:dyDescent="0.9">
      <c r="B290" s="191"/>
      <c r="C290" s="191"/>
      <c r="D290" s="191"/>
      <c r="E290" s="191"/>
      <c r="F290" s="191"/>
    </row>
    <row r="291" spans="2:6" s="185" customFormat="1" x14ac:dyDescent="0.9">
      <c r="B291" s="191"/>
      <c r="C291" s="191"/>
      <c r="D291" s="191"/>
      <c r="E291" s="191"/>
      <c r="F291" s="191"/>
    </row>
    <row r="292" spans="2:6" s="185" customFormat="1" x14ac:dyDescent="0.9">
      <c r="B292" s="191"/>
      <c r="C292" s="191"/>
      <c r="D292" s="191"/>
      <c r="E292" s="191"/>
      <c r="F292" s="191"/>
    </row>
    <row r="293" spans="2:6" s="185" customFormat="1" x14ac:dyDescent="0.9">
      <c r="B293" s="191"/>
      <c r="C293" s="191"/>
      <c r="D293" s="191"/>
      <c r="E293" s="191"/>
      <c r="F293" s="191"/>
    </row>
    <row r="294" spans="2:6" s="185" customFormat="1" x14ac:dyDescent="0.9">
      <c r="B294" s="191"/>
      <c r="C294" s="191"/>
      <c r="D294" s="191"/>
      <c r="E294" s="191"/>
      <c r="F294" s="191"/>
    </row>
    <row r="295" spans="2:6" s="185" customFormat="1" x14ac:dyDescent="0.9">
      <c r="B295" s="191"/>
      <c r="C295" s="191"/>
      <c r="D295" s="191"/>
      <c r="E295" s="191"/>
      <c r="F295" s="191"/>
    </row>
    <row r="296" spans="2:6" s="185" customFormat="1" x14ac:dyDescent="0.9">
      <c r="B296" s="191"/>
      <c r="C296" s="191"/>
      <c r="D296" s="191"/>
      <c r="E296" s="191"/>
      <c r="F296" s="191"/>
    </row>
    <row r="297" spans="2:6" s="185" customFormat="1" x14ac:dyDescent="0.9">
      <c r="B297" s="191"/>
      <c r="C297" s="191"/>
      <c r="D297" s="191"/>
      <c r="E297" s="191"/>
      <c r="F297" s="191"/>
    </row>
    <row r="298" spans="2:6" s="185" customFormat="1" x14ac:dyDescent="0.9">
      <c r="B298" s="191"/>
      <c r="C298" s="191"/>
      <c r="D298" s="191"/>
      <c r="E298" s="191"/>
      <c r="F298" s="191"/>
    </row>
    <row r="299" spans="2:6" s="185" customFormat="1" x14ac:dyDescent="0.9">
      <c r="B299" s="191"/>
      <c r="C299" s="191"/>
      <c r="D299" s="191"/>
      <c r="E299" s="191"/>
      <c r="F299" s="191"/>
    </row>
    <row r="300" spans="2:6" s="185" customFormat="1" x14ac:dyDescent="0.9">
      <c r="B300" s="191"/>
      <c r="C300" s="191"/>
      <c r="D300" s="191"/>
      <c r="E300" s="191"/>
      <c r="F300" s="191"/>
    </row>
    <row r="301" spans="2:6" s="185" customFormat="1" x14ac:dyDescent="0.9">
      <c r="B301" s="191"/>
      <c r="C301" s="191"/>
      <c r="D301" s="191"/>
      <c r="E301" s="191"/>
      <c r="F301" s="191"/>
    </row>
    <row r="302" spans="2:6" s="185" customFormat="1" x14ac:dyDescent="0.9">
      <c r="B302" s="191"/>
      <c r="C302" s="191"/>
      <c r="D302" s="191"/>
      <c r="E302" s="191"/>
      <c r="F302" s="191"/>
    </row>
    <row r="303" spans="2:6" s="185" customFormat="1" x14ac:dyDescent="0.9">
      <c r="B303" s="191"/>
      <c r="C303" s="191"/>
      <c r="D303" s="191"/>
      <c r="E303" s="191"/>
      <c r="F303" s="191"/>
    </row>
    <row r="304" spans="2:6" s="185" customFormat="1" x14ac:dyDescent="0.9">
      <c r="B304" s="191"/>
      <c r="C304" s="191"/>
      <c r="D304" s="191"/>
      <c r="E304" s="191"/>
      <c r="F304" s="191"/>
    </row>
    <row r="305" spans="2:6" s="185" customFormat="1" x14ac:dyDescent="0.9">
      <c r="B305" s="191"/>
      <c r="C305" s="191"/>
      <c r="D305" s="191"/>
      <c r="E305" s="191"/>
      <c r="F305" s="191"/>
    </row>
    <row r="306" spans="2:6" s="185" customFormat="1" x14ac:dyDescent="0.9">
      <c r="B306" s="191"/>
      <c r="C306" s="191"/>
      <c r="D306" s="191"/>
      <c r="E306" s="191"/>
      <c r="F306" s="191"/>
    </row>
    <row r="307" spans="2:6" s="185" customFormat="1" x14ac:dyDescent="0.9">
      <c r="B307" s="191"/>
      <c r="C307" s="191"/>
      <c r="D307" s="191"/>
      <c r="E307" s="191"/>
      <c r="F307" s="191"/>
    </row>
    <row r="308" spans="2:6" s="185" customFormat="1" x14ac:dyDescent="0.9">
      <c r="B308" s="191"/>
      <c r="C308" s="191"/>
      <c r="D308" s="191"/>
      <c r="E308" s="191"/>
      <c r="F308" s="191"/>
    </row>
    <row r="309" spans="2:6" s="185" customFormat="1" x14ac:dyDescent="0.9">
      <c r="B309" s="191"/>
      <c r="C309" s="191"/>
      <c r="D309" s="191"/>
      <c r="E309" s="191"/>
      <c r="F309" s="191"/>
    </row>
    <row r="310" spans="2:6" s="185" customFormat="1" x14ac:dyDescent="0.9">
      <c r="B310" s="191"/>
      <c r="C310" s="191"/>
      <c r="D310" s="191"/>
      <c r="E310" s="191"/>
      <c r="F310" s="191"/>
    </row>
    <row r="311" spans="2:6" s="185" customFormat="1" x14ac:dyDescent="0.9">
      <c r="B311" s="191"/>
      <c r="C311" s="191"/>
      <c r="D311" s="191"/>
      <c r="E311" s="191"/>
      <c r="F311" s="191"/>
    </row>
    <row r="312" spans="2:6" s="185" customFormat="1" x14ac:dyDescent="0.9">
      <c r="B312" s="191"/>
      <c r="C312" s="191"/>
      <c r="D312" s="191"/>
      <c r="E312" s="191"/>
      <c r="F312" s="191"/>
    </row>
    <row r="313" spans="2:6" s="185" customFormat="1" x14ac:dyDescent="0.9">
      <c r="B313" s="191"/>
      <c r="C313" s="191"/>
      <c r="D313" s="191"/>
      <c r="E313" s="191"/>
      <c r="F313" s="191"/>
    </row>
    <row r="314" spans="2:6" s="185" customFormat="1" x14ac:dyDescent="0.9">
      <c r="B314" s="191"/>
      <c r="C314" s="191"/>
      <c r="D314" s="191"/>
      <c r="E314" s="191"/>
      <c r="F314" s="191"/>
    </row>
    <row r="315" spans="2:6" s="185" customFormat="1" x14ac:dyDescent="0.9">
      <c r="B315" s="191"/>
      <c r="C315" s="191"/>
      <c r="D315" s="191"/>
      <c r="E315" s="191"/>
      <c r="F315" s="191"/>
    </row>
    <row r="316" spans="2:6" s="185" customFormat="1" x14ac:dyDescent="0.9">
      <c r="B316" s="191"/>
      <c r="C316" s="191"/>
      <c r="D316" s="191"/>
      <c r="E316" s="191"/>
      <c r="F316" s="191"/>
    </row>
    <row r="317" spans="2:6" s="185" customFormat="1" x14ac:dyDescent="0.9">
      <c r="B317" s="191"/>
      <c r="C317" s="191"/>
      <c r="D317" s="191"/>
      <c r="E317" s="191"/>
      <c r="F317" s="191"/>
    </row>
    <row r="318" spans="2:6" s="185" customFormat="1" x14ac:dyDescent="0.9">
      <c r="B318" s="191"/>
      <c r="C318" s="191"/>
      <c r="D318" s="191"/>
      <c r="E318" s="191"/>
      <c r="F318" s="191"/>
    </row>
    <row r="319" spans="2:6" s="185" customFormat="1" x14ac:dyDescent="0.9">
      <c r="B319" s="191"/>
      <c r="C319" s="191"/>
      <c r="D319" s="191"/>
      <c r="E319" s="191"/>
      <c r="F319" s="191"/>
    </row>
    <row r="320" spans="2:6" s="185" customFormat="1" x14ac:dyDescent="0.9">
      <c r="B320" s="191"/>
      <c r="C320" s="191"/>
      <c r="D320" s="191"/>
      <c r="E320" s="191"/>
      <c r="F320" s="191"/>
    </row>
    <row r="321" spans="2:6" s="185" customFormat="1" x14ac:dyDescent="0.9">
      <c r="B321" s="191"/>
      <c r="C321" s="191"/>
      <c r="D321" s="191"/>
      <c r="E321" s="191"/>
      <c r="F321" s="191"/>
    </row>
    <row r="322" spans="2:6" s="185" customFormat="1" x14ac:dyDescent="0.9">
      <c r="B322" s="191"/>
      <c r="C322" s="191"/>
      <c r="D322" s="191"/>
      <c r="E322" s="191"/>
      <c r="F322" s="191"/>
    </row>
    <row r="323" spans="2:6" s="185" customFormat="1" x14ac:dyDescent="0.9">
      <c r="B323" s="191"/>
      <c r="C323" s="191"/>
      <c r="D323" s="191"/>
      <c r="E323" s="191"/>
      <c r="F323" s="191"/>
    </row>
    <row r="324" spans="2:6" s="185" customFormat="1" x14ac:dyDescent="0.9">
      <c r="B324" s="191"/>
      <c r="C324" s="191"/>
      <c r="D324" s="191"/>
      <c r="E324" s="191"/>
      <c r="F324" s="191"/>
    </row>
    <row r="325" spans="2:6" s="185" customFormat="1" x14ac:dyDescent="0.9">
      <c r="B325" s="191"/>
      <c r="C325" s="191"/>
      <c r="D325" s="191"/>
      <c r="E325" s="191"/>
      <c r="F325" s="191"/>
    </row>
    <row r="326" spans="2:6" s="185" customFormat="1" x14ac:dyDescent="0.9">
      <c r="B326" s="191"/>
      <c r="C326" s="191"/>
      <c r="D326" s="191"/>
      <c r="E326" s="191"/>
      <c r="F326" s="191"/>
    </row>
    <row r="327" spans="2:6" s="185" customFormat="1" x14ac:dyDescent="0.9">
      <c r="B327" s="191"/>
      <c r="C327" s="191"/>
      <c r="D327" s="191"/>
      <c r="E327" s="191"/>
      <c r="F327" s="191"/>
    </row>
    <row r="328" spans="2:6" s="185" customFormat="1" x14ac:dyDescent="0.9">
      <c r="B328" s="191"/>
      <c r="C328" s="191"/>
      <c r="D328" s="191"/>
      <c r="E328" s="191"/>
      <c r="F328" s="191"/>
    </row>
    <row r="329" spans="2:6" s="185" customFormat="1" x14ac:dyDescent="0.9">
      <c r="B329" s="191"/>
      <c r="C329" s="191"/>
      <c r="D329" s="191"/>
      <c r="E329" s="191"/>
      <c r="F329" s="191"/>
    </row>
    <row r="330" spans="2:6" s="185" customFormat="1" x14ac:dyDescent="0.9">
      <c r="B330" s="191"/>
      <c r="C330" s="191"/>
      <c r="D330" s="191"/>
      <c r="E330" s="191"/>
      <c r="F330" s="191"/>
    </row>
  </sheetData>
  <sheetProtection algorithmName="SHA-512" hashValue="0RKADpo4EamIq5fKR0wI+hPDB9bnC8hkDLShn/nW9rS9hZK5Knh0NPYMTOMPNgUc235ySQowrkRoZ4adcVAkog==" saltValue="v5tTxbjRIWycCw8eUvGKjQ==" spinCount="100000" sheet="1" objects="1" scenarios="1"/>
  <mergeCells count="16">
    <mergeCell ref="B28:E28"/>
    <mergeCell ref="B18:C18"/>
    <mergeCell ref="B1:F1"/>
    <mergeCell ref="B2:F2"/>
    <mergeCell ref="E15:F15"/>
    <mergeCell ref="B3:F3"/>
    <mergeCell ref="E4:F4"/>
    <mergeCell ref="E6:F6"/>
    <mergeCell ref="B4:C4"/>
    <mergeCell ref="E12:F12"/>
    <mergeCell ref="E27:F27"/>
    <mergeCell ref="E22:F22"/>
    <mergeCell ref="E23:F23"/>
    <mergeCell ref="E24:F24"/>
    <mergeCell ref="E25:F25"/>
    <mergeCell ref="E26:F26"/>
  </mergeCells>
  <dataValidations xWindow="739" yWindow="537" count="17">
    <dataValidation type="whole" allowBlank="1" showInputMessage="1" showErrorMessage="1" errorTitle="توجه" error="عددی از صفر (0) تا  دو هزار و دویست و پنجاه (۲۲۵۰) وارد نمایید (با توجه به آخرین حکم کارگزینی)" sqref="C10" xr:uid="{00000000-0002-0000-0000-000000000000}">
      <formula1>0</formula1>
      <formula2>2325</formula2>
    </dataValidation>
    <dataValidation type="whole" allowBlank="1" showInputMessage="1" showErrorMessage="1" errorTitle="توجه" error="عددی از صفر (0) تا پنج هزار (۵۰۰۰) وارد نمایید (مطابق با آخرین حکم کارگزینی)" sqref="C7" xr:uid="{00000000-0002-0000-0000-000001000000}">
      <formula1>0</formula1>
      <formula2>10000</formula2>
    </dataValidation>
    <dataValidation type="whole" allowBlank="1" showInputMessage="1" showErrorMessage="1" errorTitle="توجه" error="عددی از صفر (0) تا شش هزار و دویست و چهل ۸۰۰۰ وارد نمایید (مطابق با آخرین حکم کارگزینی)" sqref="C8" xr:uid="{00000000-0002-0000-0000-000002000000}">
      <formula1>0</formula1>
      <formula2>20000</formula2>
    </dataValidation>
    <dataValidation type="whole" allowBlank="1" showInputMessage="1" showErrorMessage="1" errorTitle="توجه" error="در ورود اطلاعات دقت فرمایید_x000a_عددی بین 0 تا 5000 وارد نمایید" sqref="C16:C17" xr:uid="{00000000-0002-0000-0000-000003000000}">
      <formula1>0</formula1>
      <formula2>5000</formula2>
    </dataValidation>
    <dataValidation type="whole" allowBlank="1" showInputMessage="1" showErrorMessage="1" errorTitle="توجه" error="در ورود اطلاعات دقت فرمایید_x000a_عددی بین صفر (0) تا هزار و دویست (۱۲۰۰) وارد نمایید (مطابق با آخرین حکم کارگزینی)" sqref="C12" xr:uid="{00000000-0002-0000-0000-000004000000}">
      <formula1>0</formula1>
      <formula2>3000</formula2>
    </dataValidation>
    <dataValidation type="whole" allowBlank="1" showInputMessage="1" showErrorMessage="1" errorTitle="توجه" error="در ورود اطلاعات دقت نمایید_x000a_عددی بین صفر (0) تا هزار و هفتصد (۱۷۰۰) وارد نمایید (مطابق با آخرین حکم کارگزینی)" sqref="C11" xr:uid="{00000000-0002-0000-0000-000005000000}">
      <formula1>0</formula1>
      <formula2>3000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C20" xr:uid="{00000000-0002-0000-0000-000006000000}">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C21" xr:uid="{00000000-0002-0000-0000-000007000000}">
      <formula1>0</formula1>
      <formula2>50000000</formula2>
    </dataValidation>
    <dataValidation type="whole" allowBlank="1" showInputMessage="1" showErrorMessage="1" errorTitle="توجه" error="دقت فرمایید!!!_x000a_امتیاز حق شغل را مطابق با آخرین حکم کارگزینی خود وارد کنید_x000a__x000a_از وارد کردن مبلغ خودداری گردد" sqref="C6" xr:uid="{00000000-0002-0000-0000-000008000000}">
      <formula1>0</formula1>
      <formula2>30000</formula2>
    </dataValidation>
    <dataValidation type="whole" allowBlank="1" showInputMessage="1" showErrorMessage="1" errorTitle="اخطار" error="عددی از  ۷۰۰ تا ۳۰۰۰_x000a_را وارد نمایید" sqref="C9" xr:uid="{00000000-0002-0000-0000-000009000000}">
      <formula1>0</formula1>
      <formula2>3000</formula2>
    </dataValidation>
    <dataValidation type="whole" allowBlank="1" showInputMessage="1" showErrorMessage="1" promptTitle="توجه" prompt="در صورتی که تا قبل از سال 1400 بیش از 1000 ساعت آموزش ضمن خدمت داشته اید عدد صفر را وارد نمایید در غیر این صورت میزان ساعات آموزش سال 1400 خود را وارد نمایید." sqref="F9" xr:uid="{00000000-0002-0000-0000-00000A000000}">
      <formula1>0</formula1>
      <formula2>1000</formula2>
    </dataValidation>
    <dataValidation type="whole" allowBlank="1" showInputMessage="1" showErrorMessage="1" errorTitle="توجه" error="در ورود اطلاعات دقت فرمایید_x000a_امتیاز مربوط به حق عائله مندی را مطابق آخرین حکم کارگزینی وارد نمایید_x000a_عدد صفر (0) یا عددی از هشتصد و ذه (810) تا هزار و دویست و پانزده (۱۲۱۵) صحیح است" sqref="C14" xr:uid="{00000000-0002-0000-0000-00000B000000}">
      <formula1>0</formula1>
      <formula2>4000</formula2>
    </dataValidation>
    <dataValidation type="whole" allowBlank="1" showInputMessage="1" showErrorMessage="1" errorTitle="توجه" error="در ورود اطلاعات دقت نمایید_x000a_عدد مربوط به امتیاز حق اولاد را مطابق با آخرین حکم کارگزینی وارد نمایید" sqref="C15" xr:uid="{00000000-0002-0000-0000-00000C000000}">
      <formula1>0</formula1>
      <formula2>5000</formula2>
    </dataValidation>
    <dataValidation type="whole" allowBlank="1" showInputMessage="1" showErrorMessage="1" errorTitle="اخطار" error="عددی از صفر (۰) تا چهار هزار و پانصد (۴۵۰۰) وارد نمایید (مطابق با آخرین حکم کارگزینی)" sqref="C13" xr:uid="{00000000-0002-0000-0000-00000D000000}">
      <formula1>0</formula1>
      <formula2>4500</formula2>
    </dataValidation>
    <dataValidation type="whole" allowBlank="1" showInputMessage="1" showErrorMessage="1" errorTitle="اخطار" error="مطابق با آخرین حکم کارگزینی سال گذشته رقم مورد نظر را وارد نمایید." sqref="C23:C25" xr:uid="{00000000-0002-0000-0000-00000E000000}">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C26" xr:uid="{00000000-0002-0000-0000-00000F000000}">
      <formula1>0</formula1>
      <formula2>60000000</formula2>
    </dataValidation>
    <dataValidation allowBlank="1" showInputMessage="1" showErrorMessage="1" prompt="در صورتی که تا قبل از سال 1400 بیش از 1000 ساعت آموزش ضمن خدمت داشته اید عدد صفر را وارد نمایید در غیر این صورت میزان ساعات آموزش سال 1400 خود را وارد نمایید." sqref="E9" xr:uid="{00000000-0002-0000-0000-000010000000}"/>
  </dataValidations>
  <hyperlinks>
    <hyperlink ref="F16" location="'حکم سال 1400'!A1" display="ورود" xr:uid="{00000000-0004-0000-0000-000000000000}"/>
    <hyperlink ref="F17" location="'جدول محاسبات'!A1" display="ورود" xr:uid="{00000000-0004-0000-0000-000001000000}"/>
    <hyperlink ref="F18" location="'حکم سال 1401'!A1" display="ورود" xr:uid="{00000000-0004-0000-0000-000002000000}"/>
    <hyperlink ref="E26:F26" r:id="rId1" display="پست الکترونیکی (Email)" xr:uid="{00000000-0004-0000-0000-000003000000}"/>
    <hyperlink ref="E25:F25" r:id="rId2" display="اینستاگرام (instagram)" xr:uid="{00000000-0004-0000-0000-000004000000}"/>
    <hyperlink ref="E22" r:id="rId3" display="https://shenasname.ir/" xr:uid="{00000000-0004-0000-0000-000005000000}"/>
    <hyperlink ref="E23:F23" r:id="rId4" display="تهیه و تنظیم: صیاح الدین شهدی" xr:uid="{00000000-0004-0000-0000-000006000000}"/>
    <hyperlink ref="E24:F24" r:id="rId5" display="کارشناس  امور اداری و کارگزینی" xr:uid="{00000000-0004-0000-0000-000007000000}"/>
    <hyperlink ref="E27:F27" r:id="rId6" display="دانلود آخرین نسخه فایل اکسل" xr:uid="{00000000-0004-0000-0000-000008000000}"/>
  </hyperlinks>
  <printOptions horizontalCentered="1"/>
  <pageMargins left="0.11811023622047245" right="0.11811023622047245" top="0.15748031496062992" bottom="0.19685039370078741" header="0.11811023622047245" footer="0.11811023622047245"/>
  <pageSetup paperSize="9" scale="74" orientation="portrait" r:id="rId7"/>
  <drawing r:id="rId8"/>
  <extLst>
    <ext xmlns:x14="http://schemas.microsoft.com/office/spreadsheetml/2009/9/main" uri="{CCE6A557-97BC-4b89-ADB6-D9C93CAAB3DF}">
      <x14:dataValidations xmlns:xm="http://schemas.microsoft.com/office/excel/2006/main" xWindow="739" yWindow="537" count="6">
        <x14:dataValidation type="list" allowBlank="1" showInputMessage="1" showErrorMessage="1" errorTitle="توجه" error="یکی از گزینه های زیر را وارد نمایید_x000a__x000a_خیر_x000a_بلی_x000a__x000a__x000a_" xr:uid="{00000000-0002-0000-0000-000011000000}">
          <x14:formula1>
            <xm:f>Sheet2!$S$2:$S$3</xm:f>
          </x14:formula1>
          <xm:sqref>F5 F13</xm:sqref>
        </x14:dataValidation>
        <x14:dataValidation type="list" allowBlank="1" showInputMessage="1" showErrorMessage="1" errorTitle="اخطار" error="از صفر تا 50 عددی وارد نمایید_x000a_" prompt="از صفر تا 50 عددی وارد نمایید_x000a_" xr:uid="{00000000-0002-0000-0000-000012000000}">
          <x14:formula1>
            <xm:f>'ورود اطلاعات (2)'!$V$3:$V$53</xm:f>
          </x14:formula1>
          <xm:sqref>F11</xm:sqref>
        </x14:dataValidation>
        <x14:dataValidation type="list" allowBlank="1" showInputMessage="1" showErrorMessage="1" xr:uid="{00000000-0002-0000-0000-000013000000}">
          <x14:formula1>
            <xm:f>'ورود اطلاعات (2)'!$W$2:$W$3</xm:f>
          </x14:formula1>
          <xm:sqref>F7</xm:sqref>
        </x14:dataValidation>
        <x14:dataValidation type="list" allowBlank="1" showInputMessage="1" showErrorMessage="1" errorTitle="توجه" error="لطفاً از لیست کشویی انتخاب نمایید" prompt="کارشناس_x000a_رئیس اداره_x000a_مدیر" xr:uid="{00000000-0002-0000-0000-000014000000}">
          <x14:formula1>
            <xm:f>'ورود اطلاعات (2)'!$Y$1:$Y$3</xm:f>
          </x14:formula1>
          <xm:sqref>F10</xm:sqref>
        </x14:dataValidation>
        <x14:dataValidation type="list" allowBlank="1" showInputMessage="1" showErrorMessage="1" xr:uid="{00000000-0002-0000-0000-000015000000}">
          <x14:formula1>
            <xm:f>'ورود اطلاعات (2)'!$AA$1:$AA$6</xm:f>
          </x14:formula1>
          <xm:sqref>F8</xm:sqref>
        </x14:dataValidation>
        <x14:dataValidation type="list" allowBlank="1" showInputMessage="1" showErrorMessage="1" errorTitle="توجه" error="از 1 تا 5 عددی وارد نمایید_x000a_" promptTitle="نکته مهم" prompt="فقط تعداد فرزندان متولد سال 1401 قید شود (در صورتی که مشمول دریافت حق اولاد هستید)" xr:uid="{17C59A9A-F3A4-4284-AAD4-74A9648D04FF}">
          <x14:formula1>
            <xm:f>Sheet2!$U$1:$U$6</xm:f>
          </x14:formula1>
          <xm:sqref>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499984740745262"/>
    <pageSetUpPr fitToPage="1"/>
  </sheetPr>
  <dimension ref="A1:P106"/>
  <sheetViews>
    <sheetView showGridLines="0" showRowColHeaders="0" rightToLeft="1" zoomScaleNormal="100" workbookViewId="0">
      <selection activeCell="B11" sqref="B11:D11"/>
    </sheetView>
  </sheetViews>
  <sheetFormatPr defaultColWidth="9" defaultRowHeight="14.35" x14ac:dyDescent="0.5"/>
  <cols>
    <col min="1" max="1" width="4.234375" style="79" customWidth="1"/>
    <col min="2" max="2" width="25" style="51" customWidth="1"/>
    <col min="3" max="3" width="2.46875" style="51" customWidth="1"/>
    <col min="4" max="4" width="12.76171875" style="51" customWidth="1"/>
    <col min="5" max="5" width="10.29296875" style="51" customWidth="1"/>
    <col min="6" max="11" width="15.64453125" style="51" customWidth="1"/>
    <col min="12" max="12" width="2.64453125" style="51" customWidth="1"/>
    <col min="13" max="13" width="9.3515625" style="51" customWidth="1"/>
    <col min="14" max="16384" width="9" style="51"/>
  </cols>
  <sheetData>
    <row r="1" spans="2:16" ht="33.75" customHeight="1" x14ac:dyDescent="0.5">
      <c r="B1" s="318" t="s">
        <v>137</v>
      </c>
      <c r="C1" s="318"/>
      <c r="D1" s="318"/>
      <c r="E1" s="318"/>
      <c r="F1" s="318"/>
      <c r="G1" s="318"/>
      <c r="H1" s="318"/>
      <c r="I1" s="318"/>
      <c r="J1" s="260"/>
      <c r="K1" s="260"/>
      <c r="L1" s="183"/>
      <c r="M1" s="183"/>
      <c r="N1" s="183"/>
      <c r="O1" s="183"/>
      <c r="P1" s="183"/>
    </row>
    <row r="2" spans="2:16" ht="48.75" customHeight="1" x14ac:dyDescent="0.5">
      <c r="B2" s="295" t="s">
        <v>14</v>
      </c>
      <c r="C2" s="296"/>
      <c r="D2" s="296"/>
      <c r="E2" s="297"/>
      <c r="F2" s="293" t="s">
        <v>262</v>
      </c>
      <c r="G2" s="294"/>
      <c r="H2" s="293" t="s">
        <v>261</v>
      </c>
      <c r="I2" s="294"/>
      <c r="N2" s="183"/>
      <c r="O2" s="183"/>
      <c r="P2" s="183"/>
    </row>
    <row r="3" spans="2:16" ht="25.5" customHeight="1" x14ac:dyDescent="0.5">
      <c r="B3" s="298"/>
      <c r="C3" s="299"/>
      <c r="D3" s="299"/>
      <c r="E3" s="300"/>
      <c r="F3" s="211" t="s">
        <v>0</v>
      </c>
      <c r="G3" s="210" t="s">
        <v>1</v>
      </c>
      <c r="H3" s="211" t="s">
        <v>0</v>
      </c>
      <c r="I3" s="210" t="s">
        <v>1</v>
      </c>
      <c r="N3" s="183"/>
      <c r="O3" s="183"/>
      <c r="P3" s="183"/>
    </row>
    <row r="4" spans="2:16" ht="23.35" x14ac:dyDescent="0.5">
      <c r="B4" s="320" t="s">
        <v>22</v>
      </c>
      <c r="C4" s="321"/>
      <c r="D4" s="301" t="s">
        <v>3</v>
      </c>
      <c r="E4" s="302"/>
      <c r="F4" s="223">
        <f>'ورود اطلاعات'!C6</f>
        <v>0</v>
      </c>
      <c r="G4" s="224">
        <f>F4*Sheet2!H50</f>
        <v>0</v>
      </c>
      <c r="H4" s="223">
        <f>IF(Sheet2!M22="قراردادی",Sheet2!M43*1.25,Sheet2!M43)</f>
        <v>0</v>
      </c>
      <c r="I4" s="224">
        <f>H4*Sheet2!H51</f>
        <v>0</v>
      </c>
      <c r="N4" s="183"/>
      <c r="O4" s="183"/>
      <c r="P4" s="183"/>
    </row>
    <row r="5" spans="2:16" ht="23.35" x14ac:dyDescent="0.5">
      <c r="B5" s="322"/>
      <c r="C5" s="323"/>
      <c r="D5" s="303" t="s">
        <v>4</v>
      </c>
      <c r="E5" s="304"/>
      <c r="F5" s="227">
        <f>'ورود اطلاعات'!C7</f>
        <v>0</v>
      </c>
      <c r="G5" s="228">
        <f>F5*Sheet2!H50</f>
        <v>0</v>
      </c>
      <c r="H5" s="227">
        <f>IF(Sheet2!M22="قراردادی",Sheet2!M44*1.25,Sheet2!M44)</f>
        <v>0</v>
      </c>
      <c r="I5" s="228">
        <f>H5*Sheet2!H51</f>
        <v>0</v>
      </c>
      <c r="N5" s="183"/>
      <c r="O5" s="183"/>
      <c r="P5" s="183"/>
    </row>
    <row r="6" spans="2:16" ht="23.35" x14ac:dyDescent="0.5">
      <c r="B6" s="322"/>
      <c r="C6" s="323"/>
      <c r="D6" s="305" t="s">
        <v>5</v>
      </c>
      <c r="E6" s="306"/>
      <c r="F6" s="229">
        <f>'ورود اطلاعات'!C8</f>
        <v>0</v>
      </c>
      <c r="G6" s="230">
        <f>F6*Sheet2!H50</f>
        <v>0</v>
      </c>
      <c r="H6" s="229">
        <f>IF(Sheet2!M22="قراردادی",Sheet2!M45*1.25,Sheet2!M45)</f>
        <v>0</v>
      </c>
      <c r="I6" s="230">
        <f>H6*Sheet2!H51</f>
        <v>0</v>
      </c>
      <c r="N6" s="183"/>
      <c r="O6" s="183"/>
      <c r="P6" s="183"/>
    </row>
    <row r="7" spans="2:16" ht="33.75" customHeight="1" x14ac:dyDescent="0.5">
      <c r="B7" s="324"/>
      <c r="C7" s="325"/>
      <c r="D7" s="307" t="s">
        <v>6</v>
      </c>
      <c r="E7" s="308"/>
      <c r="F7" s="232">
        <f t="shared" ref="F7:G7" si="0">SUM(F4:F6)</f>
        <v>0</v>
      </c>
      <c r="G7" s="233">
        <f t="shared" si="0"/>
        <v>0</v>
      </c>
      <c r="H7" s="232">
        <f>SUM(H4:H6)</f>
        <v>0</v>
      </c>
      <c r="I7" s="233">
        <f>SUM(I4:I6)</f>
        <v>0</v>
      </c>
      <c r="N7" s="183"/>
      <c r="O7" s="183"/>
      <c r="P7" s="183"/>
    </row>
    <row r="8" spans="2:16" ht="23.35" x14ac:dyDescent="0.5">
      <c r="B8" s="309" t="s">
        <v>10</v>
      </c>
      <c r="C8" s="310"/>
      <c r="D8" s="310"/>
      <c r="E8" s="311"/>
      <c r="F8" s="223"/>
      <c r="G8" s="224">
        <f>'ورود اطلاعات'!C20</f>
        <v>0</v>
      </c>
      <c r="H8" s="223"/>
      <c r="I8" s="224">
        <f>Sheet2!N47</f>
        <v>0</v>
      </c>
      <c r="N8" s="183"/>
      <c r="O8" s="183"/>
      <c r="P8" s="183"/>
    </row>
    <row r="9" spans="2:16" ht="23.35" x14ac:dyDescent="0.5">
      <c r="B9" s="315" t="s">
        <v>15</v>
      </c>
      <c r="C9" s="316"/>
      <c r="D9" s="316"/>
      <c r="E9" s="317"/>
      <c r="F9" s="227">
        <f>'ورود اطلاعات'!C9</f>
        <v>0</v>
      </c>
      <c r="G9" s="228">
        <f>F9*Sheet2!H50</f>
        <v>0</v>
      </c>
      <c r="H9" s="227">
        <f>IF(Sheet2!M22="قراردادی",Sheet2!M48*1.25,Sheet2!M48)</f>
        <v>0</v>
      </c>
      <c r="I9" s="228">
        <f>H9*Sheet2!H51</f>
        <v>0</v>
      </c>
      <c r="N9" s="183"/>
      <c r="O9" s="183"/>
      <c r="P9" s="183"/>
    </row>
    <row r="10" spans="2:16" ht="23.35" x14ac:dyDescent="0.5">
      <c r="B10" s="312" t="s">
        <v>23</v>
      </c>
      <c r="C10" s="313"/>
      <c r="D10" s="313"/>
      <c r="E10" s="243" t="e">
        <f>IF(Sheet2!J33=0," ",Sheet2!J33&amp;" درصد")</f>
        <v>#DIV/0!</v>
      </c>
      <c r="F10" s="234"/>
      <c r="G10" s="235">
        <f>'ورود اطلاعات'!C21</f>
        <v>0</v>
      </c>
      <c r="H10" s="234"/>
      <c r="I10" s="235">
        <f>IF('ورود اطلاعات'!C21=0,0,SUM(I7,I9,I14,I16,I17,I18,I25)*Sheet2!K31%)</f>
        <v>0</v>
      </c>
      <c r="N10" s="183"/>
      <c r="O10" s="183"/>
      <c r="P10" s="183"/>
    </row>
    <row r="11" spans="2:16" ht="23.35" x14ac:dyDescent="0.5">
      <c r="B11" s="315" t="s">
        <v>223</v>
      </c>
      <c r="C11" s="316"/>
      <c r="D11" s="316"/>
      <c r="E11" s="244" t="e">
        <f>IF(Sheet2!J35=0," ",Sheet2!J35&amp;" درصد")</f>
        <v>#DIV/0!</v>
      </c>
      <c r="F11" s="227"/>
      <c r="G11" s="228">
        <f>'ورود اطلاعات'!C22</f>
        <v>0</v>
      </c>
      <c r="H11" s="227"/>
      <c r="I11" s="228">
        <f>IF('ورود اطلاعات'!C22=0,0,SUM(I7,I9,I14,I16,I17,I18,I25)*Sheet2!K32%)</f>
        <v>0</v>
      </c>
      <c r="N11" s="183"/>
      <c r="O11" s="183"/>
      <c r="P11" s="183"/>
    </row>
    <row r="12" spans="2:16" ht="23.35" x14ac:dyDescent="0.5">
      <c r="B12" s="312" t="s">
        <v>25</v>
      </c>
      <c r="C12" s="313"/>
      <c r="D12" s="313"/>
      <c r="E12" s="245" t="e">
        <f>IF(Sheet2!J31=0," ",Sheet2!J31&amp;" درصد")</f>
        <v>#DIV/0!</v>
      </c>
      <c r="F12" s="236"/>
      <c r="G12" s="237">
        <f>'ورود اطلاعات'!C23</f>
        <v>0</v>
      </c>
      <c r="H12" s="236"/>
      <c r="I12" s="237">
        <f>IF('ورود اطلاعات'!C23=0,0,SUM(I7,I25)*Sheet2!K33%)</f>
        <v>0</v>
      </c>
      <c r="N12" s="183"/>
      <c r="O12" s="183"/>
      <c r="P12" s="183"/>
    </row>
    <row r="13" spans="2:16" ht="23.35" x14ac:dyDescent="0.5">
      <c r="B13" s="315" t="s">
        <v>24</v>
      </c>
      <c r="C13" s="316"/>
      <c r="D13" s="316"/>
      <c r="E13" s="246" t="e">
        <f>IF(Sheet2!J32=0," ",Sheet2!J32&amp;" درصد")</f>
        <v>#DIV/0!</v>
      </c>
      <c r="F13" s="227"/>
      <c r="G13" s="228">
        <f>'ورود اطلاعات'!C24</f>
        <v>0</v>
      </c>
      <c r="H13" s="227"/>
      <c r="I13" s="228">
        <f>IF('ورود اطلاعات'!C24=0,0,SUM(I7,I25)*Sheet2!K34%)</f>
        <v>0</v>
      </c>
      <c r="N13" s="183"/>
      <c r="O13" s="183"/>
      <c r="P13" s="183"/>
    </row>
    <row r="14" spans="2:16" ht="23.35" x14ac:dyDescent="0.5">
      <c r="B14" s="312" t="s">
        <v>16</v>
      </c>
      <c r="C14" s="313"/>
      <c r="D14" s="313"/>
      <c r="E14" s="314"/>
      <c r="F14" s="236">
        <f>'ورود اطلاعات'!C10</f>
        <v>0</v>
      </c>
      <c r="G14" s="237">
        <f>F14*Sheet2!H50</f>
        <v>0</v>
      </c>
      <c r="H14" s="236">
        <f>IF(Sheet2!M22="قراردادی",Sheet2!M53*1.25,Sheet2!M53)</f>
        <v>0</v>
      </c>
      <c r="I14" s="237">
        <f>H14*Sheet2!H51</f>
        <v>0</v>
      </c>
      <c r="N14" s="183"/>
      <c r="O14" s="183"/>
      <c r="P14" s="183"/>
    </row>
    <row r="15" spans="2:16" ht="23.35" x14ac:dyDescent="0.5">
      <c r="B15" s="315" t="s">
        <v>121</v>
      </c>
      <c r="C15" s="316"/>
      <c r="D15" s="316"/>
      <c r="E15" s="317"/>
      <c r="F15" s="227"/>
      <c r="G15" s="228">
        <f>IF('ورود اطلاعات'!F5="بلی",Sheet2!O54*25%,0)</f>
        <v>0</v>
      </c>
      <c r="H15" s="227"/>
      <c r="I15" s="228">
        <f>Sheet2!N54</f>
        <v>0</v>
      </c>
      <c r="N15" s="183"/>
      <c r="O15" s="183"/>
      <c r="P15" s="183"/>
    </row>
    <row r="16" spans="2:16" ht="23.35" x14ac:dyDescent="0.5">
      <c r="B16" s="312" t="s">
        <v>17</v>
      </c>
      <c r="C16" s="313"/>
      <c r="D16" s="313"/>
      <c r="E16" s="314"/>
      <c r="F16" s="236">
        <f>'ورود اطلاعات'!C11</f>
        <v>0</v>
      </c>
      <c r="G16" s="237">
        <f>F16*Sheet2!H50</f>
        <v>0</v>
      </c>
      <c r="H16" s="236">
        <f>IF(Sheet2!M22="قراردادی",Sheet2!M55*1.25,Sheet2!M55)</f>
        <v>0</v>
      </c>
      <c r="I16" s="237">
        <f>H16*Sheet2!H51</f>
        <v>0</v>
      </c>
      <c r="N16" s="183"/>
      <c r="O16" s="183"/>
      <c r="P16" s="183"/>
    </row>
    <row r="17" spans="2:16" ht="23.35" x14ac:dyDescent="0.5">
      <c r="B17" s="315" t="s">
        <v>18</v>
      </c>
      <c r="C17" s="316"/>
      <c r="D17" s="316"/>
      <c r="E17" s="317"/>
      <c r="F17" s="227">
        <f>'ورود اطلاعات'!C12</f>
        <v>0</v>
      </c>
      <c r="G17" s="228">
        <f>F17*Sheet2!H50</f>
        <v>0</v>
      </c>
      <c r="H17" s="227">
        <f>IF(Sheet2!M22="قراردادی",Sheet2!M56*1.25,Sheet2!M56)</f>
        <v>0</v>
      </c>
      <c r="I17" s="228">
        <f>H17*Sheet2!H51</f>
        <v>0</v>
      </c>
      <c r="N17" s="183"/>
      <c r="O17" s="183"/>
      <c r="P17" s="183"/>
    </row>
    <row r="18" spans="2:16" ht="23.35" x14ac:dyDescent="0.5">
      <c r="B18" s="312" t="s">
        <v>19</v>
      </c>
      <c r="C18" s="313"/>
      <c r="D18" s="313"/>
      <c r="E18" s="314"/>
      <c r="F18" s="236">
        <f>'ورود اطلاعات'!C13</f>
        <v>0</v>
      </c>
      <c r="G18" s="237">
        <f>F18*Sheet2!H50</f>
        <v>0</v>
      </c>
      <c r="H18" s="236">
        <f>IF(Sheet2!M22="قراردادی",Sheet2!M57*1.25,Sheet2!M57)</f>
        <v>0</v>
      </c>
      <c r="I18" s="237">
        <f>H18*Sheet2!H51</f>
        <v>0</v>
      </c>
      <c r="N18" s="183"/>
      <c r="O18" s="183"/>
      <c r="P18" s="183"/>
    </row>
    <row r="19" spans="2:16" ht="23.35" x14ac:dyDescent="0.5">
      <c r="B19" s="315" t="s">
        <v>20</v>
      </c>
      <c r="C19" s="316"/>
      <c r="D19" s="316"/>
      <c r="E19" s="317"/>
      <c r="F19" s="227">
        <f>IF('ورود اطلاعات'!F13="بلی",0,'ورود اطلاعات'!C14)</f>
        <v>0</v>
      </c>
      <c r="G19" s="228">
        <f>F19*3048</f>
        <v>0</v>
      </c>
      <c r="H19" s="227">
        <f>IF('ورود اطلاعات'!F13="بلی",2430,Sheet2!M58)</f>
        <v>0</v>
      </c>
      <c r="I19" s="228">
        <f>H19*Sheet2!H51</f>
        <v>0</v>
      </c>
      <c r="N19" s="183"/>
      <c r="O19" s="183"/>
      <c r="P19" s="183"/>
    </row>
    <row r="20" spans="2:16" ht="23.35" x14ac:dyDescent="0.5">
      <c r="B20" s="312" t="s">
        <v>21</v>
      </c>
      <c r="C20" s="313"/>
      <c r="D20" s="313"/>
      <c r="E20" s="314"/>
      <c r="F20" s="236">
        <f>'ورود اطلاعات'!C15</f>
        <v>0</v>
      </c>
      <c r="G20" s="237">
        <f>F20*Sheet2!H50</f>
        <v>0</v>
      </c>
      <c r="H20" s="236">
        <f>Sheet2!M59+Sheet2!K59</f>
        <v>0</v>
      </c>
      <c r="I20" s="237">
        <f>H20*Sheet2!H51</f>
        <v>0</v>
      </c>
      <c r="N20" s="183"/>
      <c r="O20" s="183"/>
      <c r="P20" s="183"/>
    </row>
    <row r="21" spans="2:16" ht="23.35" x14ac:dyDescent="0.5">
      <c r="B21" s="315" t="s">
        <v>128</v>
      </c>
      <c r="C21" s="316"/>
      <c r="D21" s="316"/>
      <c r="E21" s="244" t="e">
        <f>IF(Sheet2!J34=0," ",Sheet2!J34&amp;" درصد")</f>
        <v>#DIV/0!</v>
      </c>
      <c r="F21" s="227"/>
      <c r="G21" s="228">
        <f>'ورود اطلاعات'!C25</f>
        <v>0</v>
      </c>
      <c r="H21" s="227"/>
      <c r="I21" s="228">
        <f>IF('ورود اطلاعات'!C25=0,0,I4*Sheet2!K35%)</f>
        <v>0</v>
      </c>
      <c r="N21" s="183"/>
      <c r="O21" s="183"/>
      <c r="P21" s="183"/>
    </row>
    <row r="22" spans="2:16" ht="23.35" x14ac:dyDescent="0.5">
      <c r="B22" s="312" t="s">
        <v>11</v>
      </c>
      <c r="C22" s="313"/>
      <c r="D22" s="313"/>
      <c r="E22" s="314"/>
      <c r="F22" s="236"/>
      <c r="G22" s="237">
        <f>'ورود اطلاعات'!C26</f>
        <v>0</v>
      </c>
      <c r="H22" s="236"/>
      <c r="I22" s="237">
        <f>IF(Sheet2!M22="قراردادی",0,Sheet2!N61)</f>
        <v>0</v>
      </c>
      <c r="N22" s="183"/>
      <c r="O22" s="183"/>
      <c r="P22" s="183"/>
    </row>
    <row r="23" spans="2:16" ht="23.35" x14ac:dyDescent="0.5">
      <c r="B23" s="315" t="s">
        <v>247</v>
      </c>
      <c r="C23" s="316"/>
      <c r="D23" s="316"/>
      <c r="E23" s="317"/>
      <c r="F23" s="227">
        <f>'ورود اطلاعات'!C16</f>
        <v>0</v>
      </c>
      <c r="G23" s="228">
        <f>F23*Sheet2!H50</f>
        <v>0</v>
      </c>
      <c r="H23" s="227"/>
      <c r="I23" s="228">
        <v>0</v>
      </c>
      <c r="N23" s="183"/>
      <c r="O23" s="183"/>
      <c r="P23" s="183"/>
    </row>
    <row r="24" spans="2:16" ht="23.35" x14ac:dyDescent="0.5">
      <c r="B24" s="312" t="s">
        <v>246</v>
      </c>
      <c r="C24" s="313"/>
      <c r="D24" s="313"/>
      <c r="E24" s="314"/>
      <c r="F24" s="236">
        <f>'ورود اطلاعات'!C17</f>
        <v>0</v>
      </c>
      <c r="G24" s="237">
        <f>F24*Sheet2!H50</f>
        <v>0</v>
      </c>
      <c r="H24" s="236"/>
      <c r="I24" s="237">
        <v>0</v>
      </c>
      <c r="N24" s="183"/>
      <c r="O24" s="183"/>
      <c r="P24" s="183"/>
    </row>
    <row r="25" spans="2:16" ht="23.35" x14ac:dyDescent="0.5">
      <c r="B25" s="315" t="s">
        <v>273</v>
      </c>
      <c r="C25" s="316"/>
      <c r="D25" s="316"/>
      <c r="E25" s="317"/>
      <c r="F25" s="227"/>
      <c r="G25" s="228"/>
      <c r="H25" s="227"/>
      <c r="I25" s="228">
        <f>G23+G24</f>
        <v>0</v>
      </c>
      <c r="N25" s="183"/>
      <c r="O25" s="183"/>
      <c r="P25" s="183"/>
    </row>
    <row r="26" spans="2:16" ht="23.35" x14ac:dyDescent="0.5">
      <c r="B26" s="312" t="s">
        <v>244</v>
      </c>
      <c r="C26" s="313"/>
      <c r="D26" s="313"/>
      <c r="E26" s="314"/>
      <c r="F26" s="236"/>
      <c r="G26" s="237">
        <f>IF(SUM(G7:G24)&lt;35000000,35000000-SUM(G7:G24),0)</f>
        <v>35000000</v>
      </c>
      <c r="H26" s="236"/>
      <c r="I26" s="237">
        <v>0</v>
      </c>
      <c r="N26" s="183"/>
      <c r="O26" s="183"/>
      <c r="P26" s="183"/>
    </row>
    <row r="27" spans="2:16" ht="23.35" x14ac:dyDescent="0.5">
      <c r="B27" s="315" t="s">
        <v>266</v>
      </c>
      <c r="C27" s="316"/>
      <c r="D27" s="316"/>
      <c r="E27" s="317"/>
      <c r="F27" s="227"/>
      <c r="G27" s="228"/>
      <c r="H27" s="227"/>
      <c r="I27" s="228">
        <f>Sheet2!E9</f>
        <v>56000000</v>
      </c>
      <c r="N27" s="183"/>
      <c r="O27" s="183"/>
      <c r="P27" s="183"/>
    </row>
    <row r="28" spans="2:16" ht="23.35" x14ac:dyDescent="0.5">
      <c r="B28" s="312" t="s">
        <v>243</v>
      </c>
      <c r="C28" s="313"/>
      <c r="D28" s="313"/>
      <c r="E28" s="314"/>
      <c r="F28" s="236"/>
      <c r="G28" s="237">
        <f>IF('ورود اطلاعات'!C27&gt;0,-1*'ورود اطلاعات'!C27,'ورود اطلاعات'!C27)</f>
        <v>0</v>
      </c>
      <c r="H28" s="236"/>
      <c r="I28" s="237">
        <v>0</v>
      </c>
      <c r="N28" s="183"/>
      <c r="O28" s="183"/>
      <c r="P28" s="183"/>
    </row>
    <row r="29" spans="2:16" ht="41.25" customHeight="1" x14ac:dyDescent="0.5">
      <c r="B29" s="326" t="s">
        <v>9</v>
      </c>
      <c r="C29" s="327"/>
      <c r="D29" s="327"/>
      <c r="E29" s="328"/>
      <c r="F29" s="238">
        <f t="shared" ref="F29" si="1">SUM(F7:F28)</f>
        <v>0</v>
      </c>
      <c r="G29" s="239">
        <f>SUM(G7:G28)</f>
        <v>35000000</v>
      </c>
      <c r="H29" s="238">
        <f>SUM(H7:H28)</f>
        <v>0</v>
      </c>
      <c r="I29" s="239">
        <f>SUM(I7:I28)</f>
        <v>56000000</v>
      </c>
      <c r="N29" s="183"/>
      <c r="O29" s="183"/>
      <c r="P29" s="183"/>
    </row>
    <row r="30" spans="2:16" ht="24.75" customHeight="1" x14ac:dyDescent="0.5">
      <c r="B30" s="79"/>
      <c r="C30" s="79"/>
      <c r="D30" s="79"/>
      <c r="E30" s="79"/>
      <c r="F30" s="79"/>
      <c r="G30" s="79"/>
      <c r="H30" s="79"/>
      <c r="I30" s="79"/>
      <c r="J30" s="79"/>
      <c r="K30" s="79"/>
      <c r="L30" s="183"/>
      <c r="M30" s="183"/>
      <c r="N30" s="183"/>
      <c r="O30" s="183"/>
      <c r="P30" s="183"/>
    </row>
    <row r="31" spans="2:16" ht="33.75" customHeight="1" x14ac:dyDescent="0.5">
      <c r="B31" s="256" t="s">
        <v>233</v>
      </c>
      <c r="D31" s="329" t="s">
        <v>136</v>
      </c>
      <c r="E31" s="330"/>
      <c r="F31" s="331"/>
      <c r="G31" s="241" t="s">
        <v>204</v>
      </c>
      <c r="H31" s="241" t="s">
        <v>258</v>
      </c>
      <c r="I31" s="241" t="s">
        <v>130</v>
      </c>
      <c r="L31" s="183"/>
      <c r="M31" s="183"/>
      <c r="N31" s="183"/>
      <c r="O31" s="183"/>
      <c r="P31" s="183"/>
    </row>
    <row r="32" spans="2:16" ht="23.1" customHeight="1" x14ac:dyDescent="1.1000000000000001">
      <c r="B32" s="257" t="s">
        <v>234</v>
      </c>
      <c r="D32" s="332" t="s">
        <v>131</v>
      </c>
      <c r="E32" s="333"/>
      <c r="F32" s="334"/>
      <c r="G32" s="249">
        <f>SUM(G7,G23:G24)/176</f>
        <v>0</v>
      </c>
      <c r="H32" s="250">
        <f>(I7+I25)/176</f>
        <v>0</v>
      </c>
      <c r="I32" s="266">
        <f>IF(H32=0,0,((H32-G32)/G32)*100)</f>
        <v>0</v>
      </c>
      <c r="L32" s="183"/>
      <c r="M32" s="183"/>
      <c r="N32" s="183"/>
      <c r="O32" s="183"/>
      <c r="P32" s="183"/>
    </row>
    <row r="33" spans="1:16" ht="23.1" customHeight="1" x14ac:dyDescent="0.5">
      <c r="B33" s="258" t="s">
        <v>235</v>
      </c>
      <c r="D33" s="287" t="s">
        <v>169</v>
      </c>
      <c r="E33" s="288"/>
      <c r="F33" s="289"/>
      <c r="G33" s="251">
        <f>SUM(G7:G10,G14,G16:G18,G22:G24)</f>
        <v>0</v>
      </c>
      <c r="H33" s="251">
        <f>SUM(I7:I10,I14,I16:I18,I22:I24)+I25</f>
        <v>0</v>
      </c>
      <c r="I33" s="267">
        <f>IF(H33=0,0,((H33-G33)*100)/G33)</f>
        <v>0</v>
      </c>
      <c r="L33" s="183"/>
      <c r="M33" s="183"/>
      <c r="O33" s="183"/>
      <c r="P33" s="183"/>
    </row>
    <row r="34" spans="1:16" ht="23.1" customHeight="1" x14ac:dyDescent="0.5">
      <c r="B34" s="259" t="s">
        <v>236</v>
      </c>
      <c r="D34" s="284" t="s">
        <v>132</v>
      </c>
      <c r="E34" s="285"/>
      <c r="F34" s="286"/>
      <c r="G34" s="252">
        <f>G29</f>
        <v>35000000</v>
      </c>
      <c r="H34" s="252">
        <f>I29</f>
        <v>56000000</v>
      </c>
      <c r="I34" s="268">
        <f>((H34-G34)*100)/G34</f>
        <v>60</v>
      </c>
      <c r="L34" s="183"/>
    </row>
    <row r="35" spans="1:16" ht="23.1" customHeight="1" x14ac:dyDescent="0.5">
      <c r="B35" s="259" t="s">
        <v>237</v>
      </c>
      <c r="D35" s="287" t="s">
        <v>135</v>
      </c>
      <c r="E35" s="288"/>
      <c r="F35" s="289"/>
      <c r="G35" s="251" t="s">
        <v>166</v>
      </c>
      <c r="H35" s="251">
        <f>I29-G29</f>
        <v>21000000</v>
      </c>
      <c r="I35" s="267">
        <f>((H34-G34)*100)/G34</f>
        <v>60</v>
      </c>
      <c r="L35" s="183"/>
    </row>
    <row r="36" spans="1:16" ht="23.1" customHeight="1" x14ac:dyDescent="0.5">
      <c r="D36" s="284" t="s">
        <v>133</v>
      </c>
      <c r="E36" s="285"/>
      <c r="F36" s="286"/>
      <c r="G36" s="252">
        <f>((G33-22468000)/50)+1123400</f>
        <v>674040</v>
      </c>
      <c r="H36" s="252">
        <f>((H33-24714800)/50)+988592</f>
        <v>494296</v>
      </c>
      <c r="I36" s="268">
        <f>((H36-G36)*100)/G36</f>
        <v>-26.666666666666668</v>
      </c>
      <c r="L36" s="183"/>
    </row>
    <row r="37" spans="1:16" ht="23.1" customHeight="1" x14ac:dyDescent="0.5">
      <c r="D37" s="290" t="s">
        <v>134</v>
      </c>
      <c r="E37" s="291"/>
      <c r="F37" s="292"/>
      <c r="G37" s="253">
        <f>G36/2</f>
        <v>337020</v>
      </c>
      <c r="H37" s="253">
        <f>H36/2</f>
        <v>247148</v>
      </c>
      <c r="I37" s="269">
        <f>((H37-G37)*100)/G37</f>
        <v>-26.666666666666668</v>
      </c>
      <c r="L37" s="183"/>
    </row>
    <row r="38" spans="1:16" ht="9" customHeight="1" x14ac:dyDescent="0.5">
      <c r="B38" s="122"/>
      <c r="C38" s="122"/>
      <c r="D38" s="122"/>
      <c r="E38" s="122"/>
      <c r="F38" s="122"/>
      <c r="G38" s="49"/>
      <c r="H38" s="49"/>
      <c r="L38" s="183"/>
    </row>
    <row r="39" spans="1:16" ht="20.25" customHeight="1" x14ac:dyDescent="1">
      <c r="A39" s="186"/>
      <c r="B39" s="262" t="s">
        <v>201</v>
      </c>
      <c r="C39" s="262"/>
      <c r="D39" s="263"/>
      <c r="E39" s="263"/>
      <c r="F39" s="263"/>
      <c r="G39" s="263"/>
      <c r="H39" s="283" t="s">
        <v>175</v>
      </c>
      <c r="I39" s="283"/>
      <c r="L39" s="184"/>
    </row>
    <row r="40" spans="1:16" ht="21.75" customHeight="1" x14ac:dyDescent="0.5">
      <c r="A40" s="186"/>
      <c r="B40" s="319" t="str">
        <f>IF(Sheet2!N65&gt;0,"- چون با اعمال افزایش ضریب ریالی سال 1401 مجموع دریافتی شما به 56 میلیون ریال نرسیده است مشمول دریافت تفاوت تطبیق موضوع جزء (1) بند (الف) تبصره (12) شده اید.","- شما مشمول تفاوت تطبیق موضوع جزء (1) بند (الف) تبصره (12) نمی باشید.")</f>
        <v>- چون با اعمال افزایش ضریب ریالی سال 1401 مجموع دریافتی شما به 56 میلیون ریال نرسیده است مشمول دریافت تفاوت تطبیق موضوع جزء (1) بند (الف) تبصره (12) شده اید.</v>
      </c>
      <c r="C40" s="319"/>
      <c r="D40" s="319"/>
      <c r="E40" s="319"/>
      <c r="F40" s="319"/>
      <c r="G40" s="319"/>
      <c r="H40" s="283" t="s">
        <v>203</v>
      </c>
      <c r="I40" s="283"/>
      <c r="L40" s="182"/>
    </row>
    <row r="41" spans="1:16" ht="19.7" x14ac:dyDescent="0.5">
      <c r="B41" s="282" t="str">
        <f>IF(Sheet2!M45-F6&lt;1,"- با توجه به اطلاعات وارد شده، مشمول افزایش امتیاز حق شاغل نمی شوید (رعایت سقف مقرر قانونی)","- در سال جدید افزایش امتیاز حق شاغل شما به میزان "&amp;Sheet2!E22&amp;" امتیاز اعمال خواهد شد.")</f>
        <v>- با توجه به اطلاعات وارد شده، مشمول افزایش امتیاز حق شاغل نمی شوید (رعایت سقف مقرر قانونی)</v>
      </c>
      <c r="C41" s="282"/>
      <c r="D41" s="282"/>
      <c r="E41" s="282"/>
      <c r="F41" s="282"/>
      <c r="G41" s="282"/>
      <c r="H41" s="283" t="s">
        <v>257</v>
      </c>
      <c r="I41" s="283"/>
      <c r="L41" s="182"/>
    </row>
    <row r="42" spans="1:16" ht="21" customHeight="1" x14ac:dyDescent="0.5">
      <c r="B42" s="282" t="str">
        <f>IF(I36&lt;0,"- کاهش نرخ حق مأموریت به علت تغییر فرمول نحوه محاسبه آن در ضوابط اجرایی قانون بودجه است.","- نرخ حق مأموریت بر اساس فرمول قید شده در ضوابط اجرایی قانون بودجه سال 1401 محاسبه شده است.")</f>
        <v>- کاهش نرخ حق مأموریت به علت تغییر فرمول نحوه محاسبه آن در ضوابط اجرایی قانون بودجه است.</v>
      </c>
      <c r="C42" s="282"/>
      <c r="D42" s="282"/>
      <c r="E42" s="282"/>
      <c r="F42" s="282"/>
      <c r="G42" s="282"/>
      <c r="H42" s="282"/>
      <c r="I42" s="282"/>
      <c r="J42" s="261"/>
      <c r="K42" s="261"/>
      <c r="L42" s="183"/>
    </row>
    <row r="43" spans="1:16" ht="21" customHeight="1" x14ac:dyDescent="0.5">
      <c r="B43" s="282" t="str">
        <f>IF((G23+G24)&gt;0,"- تفاوت تطبیق های موضوع بودجه سال های 97 و 98 (موسوم به بندهای دوقلو)، بدون افزایش ولی با حفظ سایر ویژگی های دیگر با هم تجمیع گردیده است."," ")</f>
        <v xml:space="preserve"> </v>
      </c>
      <c r="C43" s="282"/>
      <c r="D43" s="282"/>
      <c r="E43" s="282"/>
      <c r="F43" s="282"/>
      <c r="G43" s="282"/>
      <c r="H43" s="282"/>
      <c r="I43" s="282"/>
      <c r="L43" s="183"/>
    </row>
    <row r="44" spans="1:16" s="79" customFormat="1" ht="21" customHeight="1" x14ac:dyDescent="0.5">
      <c r="B44" s="282" t="str">
        <f>IF((G19+G20)&gt;0,"-  افزایش ناشی از اجرای ماده (16) قانون حمایت از خانواده و جوانی جمعیت در محاسبات لحاظ نگردیده و انتظار می رود فهرست شهرهای دارای نرخ باروری کمتر از دو و نیم سریعتر اعلام گردد."," ")</f>
        <v xml:space="preserve"> </v>
      </c>
      <c r="C44" s="282"/>
      <c r="D44" s="282"/>
      <c r="E44" s="282"/>
      <c r="F44" s="282"/>
      <c r="G44" s="282"/>
      <c r="H44" s="282"/>
      <c r="I44" s="282"/>
      <c r="L44" s="183"/>
      <c r="M44" s="183"/>
      <c r="N44" s="183"/>
      <c r="O44" s="183"/>
      <c r="P44" s="183"/>
    </row>
    <row r="45" spans="1:16" s="79" customFormat="1" ht="21" customHeight="1" x14ac:dyDescent="0.5">
      <c r="B45" s="282" t="str">
        <f>IF(I32&lt;0,"- کاهش نرخ اضافه کار به علت ثابت ماندن رقم بندهای دوقلو به عنوان جزئی از حقوق ثابت در سال 1401 می باشد.","- برای سال 1401، بندهای دوقلو که با هم تجمیع گردیده اند به عنوان جزئی از حقوق ثابت در محاسبه نرخ اضافه کار لحاظ گردیده اند.")</f>
        <v>- برای سال 1401، بندهای دوقلو که با هم تجمیع گردیده اند به عنوان جزئی از حقوق ثابت در محاسبه نرخ اضافه کار لحاظ گردیده اند.</v>
      </c>
      <c r="C45" s="282"/>
      <c r="D45" s="282"/>
      <c r="E45" s="282"/>
      <c r="F45" s="282"/>
      <c r="G45" s="282"/>
      <c r="H45" s="282"/>
      <c r="I45" s="282"/>
      <c r="L45" s="183"/>
      <c r="M45" s="183"/>
      <c r="N45" s="183"/>
      <c r="O45" s="183"/>
      <c r="P45" s="183"/>
    </row>
    <row r="46" spans="1:16" s="79" customFormat="1" x14ac:dyDescent="0.5">
      <c r="L46" s="183"/>
      <c r="M46" s="183"/>
      <c r="N46" s="183"/>
      <c r="O46" s="183"/>
      <c r="P46" s="183"/>
    </row>
    <row r="47" spans="1:16" s="79" customFormat="1" x14ac:dyDescent="0.5">
      <c r="L47" s="183"/>
      <c r="M47" s="183"/>
      <c r="N47" s="183"/>
      <c r="O47" s="183"/>
      <c r="P47" s="183"/>
    </row>
    <row r="48" spans="1:16" s="79" customFormat="1" x14ac:dyDescent="0.5">
      <c r="L48" s="183"/>
      <c r="M48" s="183"/>
      <c r="N48" s="183"/>
      <c r="O48" s="183"/>
      <c r="P48" s="183"/>
    </row>
    <row r="49" spans="12:16" s="79" customFormat="1" x14ac:dyDescent="0.5">
      <c r="L49" s="183"/>
      <c r="M49" s="183"/>
      <c r="N49" s="183"/>
      <c r="O49" s="183"/>
      <c r="P49" s="183"/>
    </row>
    <row r="50" spans="12:16" s="79" customFormat="1" x14ac:dyDescent="0.5">
      <c r="L50" s="183"/>
      <c r="M50" s="183"/>
      <c r="N50" s="183"/>
      <c r="O50" s="183"/>
      <c r="P50" s="183"/>
    </row>
    <row r="51" spans="12:16" s="79" customFormat="1" x14ac:dyDescent="0.5">
      <c r="L51" s="183"/>
      <c r="M51" s="183"/>
      <c r="N51" s="183"/>
      <c r="O51" s="183"/>
      <c r="P51" s="183"/>
    </row>
    <row r="52" spans="12:16" s="79" customFormat="1" x14ac:dyDescent="0.5">
      <c r="L52" s="183"/>
      <c r="M52" s="183"/>
      <c r="N52" s="183"/>
      <c r="O52" s="183"/>
      <c r="P52" s="183"/>
    </row>
    <row r="53" spans="12:16" s="79" customFormat="1" x14ac:dyDescent="0.5">
      <c r="L53" s="183"/>
      <c r="M53" s="183"/>
      <c r="N53" s="183"/>
      <c r="O53" s="183"/>
      <c r="P53" s="183"/>
    </row>
    <row r="54" spans="12:16" s="79" customFormat="1" x14ac:dyDescent="0.5">
      <c r="L54" s="183"/>
      <c r="M54" s="183"/>
      <c r="N54" s="183"/>
      <c r="O54" s="183"/>
      <c r="P54" s="183"/>
    </row>
    <row r="55" spans="12:16" s="79" customFormat="1" x14ac:dyDescent="0.5">
      <c r="L55" s="183"/>
      <c r="M55" s="183"/>
      <c r="N55" s="183"/>
      <c r="O55" s="183"/>
      <c r="P55" s="183"/>
    </row>
    <row r="56" spans="12:16" s="79" customFormat="1" x14ac:dyDescent="0.5">
      <c r="L56" s="183"/>
      <c r="M56" s="183"/>
      <c r="N56" s="183"/>
      <c r="O56" s="183"/>
      <c r="P56" s="183"/>
    </row>
    <row r="57" spans="12:16" s="79" customFormat="1" x14ac:dyDescent="0.5">
      <c r="L57" s="183"/>
      <c r="M57" s="183"/>
      <c r="N57" s="183"/>
      <c r="O57" s="183"/>
      <c r="P57" s="183"/>
    </row>
    <row r="58" spans="12:16" s="79" customFormat="1" x14ac:dyDescent="0.5">
      <c r="L58" s="183"/>
      <c r="M58" s="183"/>
      <c r="N58" s="183"/>
      <c r="O58" s="183"/>
      <c r="P58" s="183"/>
    </row>
    <row r="59" spans="12:16" s="79" customFormat="1" x14ac:dyDescent="0.5">
      <c r="L59" s="183"/>
      <c r="M59" s="183"/>
      <c r="N59" s="183"/>
      <c r="O59" s="183"/>
      <c r="P59" s="183"/>
    </row>
    <row r="60" spans="12:16" s="79" customFormat="1" x14ac:dyDescent="0.5">
      <c r="L60" s="183"/>
      <c r="M60" s="183"/>
      <c r="N60" s="183"/>
      <c r="O60" s="183"/>
      <c r="P60" s="183"/>
    </row>
    <row r="61" spans="12:16" s="79" customFormat="1" x14ac:dyDescent="0.5">
      <c r="L61" s="183"/>
      <c r="M61" s="183"/>
      <c r="N61" s="183"/>
      <c r="O61" s="183"/>
      <c r="P61" s="183"/>
    </row>
    <row r="62" spans="12:16" s="79" customFormat="1" x14ac:dyDescent="0.5">
      <c r="L62" s="183"/>
      <c r="M62" s="183"/>
      <c r="N62" s="183"/>
      <c r="O62" s="183"/>
      <c r="P62" s="183"/>
    </row>
    <row r="63" spans="12:16" s="79" customFormat="1" x14ac:dyDescent="0.5">
      <c r="L63" s="183"/>
      <c r="M63" s="183"/>
      <c r="N63" s="183"/>
      <c r="O63" s="183"/>
      <c r="P63" s="183"/>
    </row>
    <row r="64" spans="12:16" s="79" customFormat="1" x14ac:dyDescent="0.5">
      <c r="L64" s="183"/>
      <c r="M64" s="183"/>
      <c r="N64" s="183"/>
      <c r="O64" s="183"/>
      <c r="P64" s="183"/>
    </row>
    <row r="65" spans="12:16" s="79" customFormat="1" x14ac:dyDescent="0.5">
      <c r="L65" s="183"/>
      <c r="M65" s="183"/>
      <c r="N65" s="183"/>
      <c r="O65" s="183"/>
      <c r="P65" s="183"/>
    </row>
    <row r="66" spans="12:16" s="79" customFormat="1" x14ac:dyDescent="0.5">
      <c r="L66" s="183"/>
      <c r="M66" s="183"/>
      <c r="N66" s="183"/>
      <c r="O66" s="183"/>
      <c r="P66" s="183"/>
    </row>
    <row r="67" spans="12:16" s="79" customFormat="1" x14ac:dyDescent="0.5">
      <c r="L67" s="183"/>
      <c r="M67" s="183"/>
      <c r="N67" s="183"/>
      <c r="O67" s="183"/>
      <c r="P67" s="183"/>
    </row>
    <row r="68" spans="12:16" s="79" customFormat="1" x14ac:dyDescent="0.5">
      <c r="L68" s="183"/>
      <c r="M68" s="183"/>
      <c r="N68" s="183"/>
      <c r="O68" s="183"/>
      <c r="P68" s="183"/>
    </row>
    <row r="69" spans="12:16" s="79" customFormat="1" x14ac:dyDescent="0.5">
      <c r="L69" s="183"/>
      <c r="M69" s="183"/>
      <c r="N69" s="183"/>
      <c r="O69" s="183"/>
      <c r="P69" s="183"/>
    </row>
    <row r="70" spans="12:16" s="79" customFormat="1" x14ac:dyDescent="0.5">
      <c r="L70" s="183"/>
      <c r="M70" s="183"/>
      <c r="N70" s="183"/>
      <c r="O70" s="183"/>
      <c r="P70" s="183"/>
    </row>
    <row r="71" spans="12:16" s="79" customFormat="1" x14ac:dyDescent="0.5">
      <c r="L71" s="183"/>
      <c r="M71" s="183"/>
      <c r="N71" s="183"/>
      <c r="O71" s="183"/>
      <c r="P71" s="183"/>
    </row>
    <row r="72" spans="12:16" s="79" customFormat="1" x14ac:dyDescent="0.5">
      <c r="L72" s="183"/>
      <c r="M72" s="183"/>
      <c r="N72" s="183"/>
      <c r="O72" s="183"/>
      <c r="P72" s="183"/>
    </row>
    <row r="73" spans="12:16" s="79" customFormat="1" x14ac:dyDescent="0.5">
      <c r="L73" s="183"/>
      <c r="M73" s="183"/>
      <c r="N73" s="183"/>
      <c r="O73" s="183"/>
      <c r="P73" s="183"/>
    </row>
    <row r="74" spans="12:16" s="79" customFormat="1" x14ac:dyDescent="0.5">
      <c r="L74" s="183"/>
      <c r="M74" s="183"/>
      <c r="N74" s="183"/>
      <c r="O74" s="183"/>
      <c r="P74" s="183"/>
    </row>
    <row r="75" spans="12:16" s="79" customFormat="1" x14ac:dyDescent="0.5">
      <c r="L75" s="183"/>
      <c r="M75" s="183"/>
      <c r="N75" s="183"/>
      <c r="O75" s="183"/>
      <c r="P75" s="183"/>
    </row>
    <row r="76" spans="12:16" s="79" customFormat="1" x14ac:dyDescent="0.5">
      <c r="L76" s="183"/>
      <c r="M76" s="183"/>
      <c r="N76" s="183"/>
      <c r="O76" s="183"/>
      <c r="P76" s="183"/>
    </row>
    <row r="77" spans="12:16" s="79" customFormat="1" x14ac:dyDescent="0.5">
      <c r="L77" s="183"/>
      <c r="M77" s="183"/>
      <c r="N77" s="183"/>
      <c r="O77" s="183"/>
      <c r="P77" s="183"/>
    </row>
    <row r="78" spans="12:16" s="79" customFormat="1" x14ac:dyDescent="0.5">
      <c r="L78" s="183"/>
      <c r="M78" s="183"/>
      <c r="N78" s="183"/>
      <c r="O78" s="183"/>
      <c r="P78" s="183"/>
    </row>
    <row r="79" spans="12:16" s="79" customFormat="1" x14ac:dyDescent="0.5">
      <c r="L79" s="183"/>
      <c r="M79" s="183"/>
      <c r="N79" s="183"/>
      <c r="O79" s="183"/>
      <c r="P79" s="183"/>
    </row>
    <row r="80" spans="12:16" s="79" customFormat="1" x14ac:dyDescent="0.5">
      <c r="L80" s="183"/>
      <c r="M80" s="183"/>
      <c r="N80" s="183"/>
      <c r="O80" s="183"/>
      <c r="P80" s="183"/>
    </row>
    <row r="81" spans="12:16" s="79" customFormat="1" x14ac:dyDescent="0.5">
      <c r="L81" s="183"/>
      <c r="M81" s="183"/>
      <c r="N81" s="183"/>
      <c r="O81" s="183"/>
      <c r="P81" s="183"/>
    </row>
    <row r="82" spans="12:16" s="79" customFormat="1" x14ac:dyDescent="0.5">
      <c r="L82" s="183"/>
      <c r="M82" s="183"/>
      <c r="N82" s="183"/>
      <c r="O82" s="183"/>
      <c r="P82" s="183"/>
    </row>
    <row r="83" spans="12:16" s="79" customFormat="1" x14ac:dyDescent="0.5">
      <c r="L83" s="183"/>
      <c r="M83" s="183"/>
      <c r="N83" s="183"/>
      <c r="O83" s="183"/>
      <c r="P83" s="183"/>
    </row>
    <row r="84" spans="12:16" s="79" customFormat="1" x14ac:dyDescent="0.5">
      <c r="L84" s="183"/>
      <c r="M84" s="183"/>
      <c r="N84" s="183"/>
      <c r="O84" s="183"/>
      <c r="P84" s="183"/>
    </row>
    <row r="85" spans="12:16" s="79" customFormat="1" x14ac:dyDescent="0.5">
      <c r="L85" s="183"/>
      <c r="M85" s="183"/>
      <c r="N85" s="183"/>
      <c r="O85" s="183"/>
      <c r="P85" s="183"/>
    </row>
    <row r="86" spans="12:16" s="79" customFormat="1" x14ac:dyDescent="0.5">
      <c r="L86" s="183"/>
      <c r="M86" s="183"/>
      <c r="N86" s="183"/>
      <c r="O86" s="183"/>
      <c r="P86" s="183"/>
    </row>
    <row r="87" spans="12:16" s="79" customFormat="1" x14ac:dyDescent="0.5">
      <c r="L87" s="183"/>
      <c r="M87" s="183"/>
      <c r="N87" s="183"/>
      <c r="O87" s="183"/>
      <c r="P87" s="183"/>
    </row>
    <row r="88" spans="12:16" s="79" customFormat="1" x14ac:dyDescent="0.5">
      <c r="L88" s="183"/>
      <c r="M88" s="183"/>
      <c r="N88" s="183"/>
      <c r="O88" s="183"/>
      <c r="P88" s="183"/>
    </row>
    <row r="89" spans="12:16" s="79" customFormat="1" x14ac:dyDescent="0.5">
      <c r="L89" s="183"/>
      <c r="M89" s="183"/>
      <c r="N89" s="183"/>
      <c r="O89" s="183"/>
      <c r="P89" s="183"/>
    </row>
    <row r="90" spans="12:16" s="79" customFormat="1" x14ac:dyDescent="0.5">
      <c r="L90" s="183"/>
      <c r="M90" s="183"/>
      <c r="N90" s="183"/>
      <c r="O90" s="183"/>
      <c r="P90" s="183"/>
    </row>
    <row r="91" spans="12:16" s="79" customFormat="1" x14ac:dyDescent="0.5">
      <c r="L91" s="183"/>
      <c r="M91" s="183"/>
      <c r="N91" s="183"/>
      <c r="O91" s="183"/>
      <c r="P91" s="183"/>
    </row>
    <row r="92" spans="12:16" s="79" customFormat="1" x14ac:dyDescent="0.5">
      <c r="L92" s="183"/>
      <c r="M92" s="183"/>
      <c r="N92" s="183"/>
      <c r="O92" s="183"/>
      <c r="P92" s="183"/>
    </row>
    <row r="93" spans="12:16" s="79" customFormat="1" x14ac:dyDescent="0.5">
      <c r="L93" s="183"/>
      <c r="M93" s="183"/>
      <c r="N93" s="183"/>
      <c r="O93" s="183"/>
      <c r="P93" s="183"/>
    </row>
    <row r="94" spans="12:16" s="79" customFormat="1" x14ac:dyDescent="0.5">
      <c r="L94" s="183"/>
      <c r="M94" s="183"/>
      <c r="N94" s="183"/>
      <c r="O94" s="183"/>
      <c r="P94" s="183"/>
    </row>
    <row r="95" spans="12:16" s="79" customFormat="1" x14ac:dyDescent="0.5">
      <c r="L95" s="183"/>
      <c r="M95" s="183"/>
      <c r="N95" s="183"/>
      <c r="O95" s="183"/>
      <c r="P95" s="183"/>
    </row>
    <row r="96" spans="12:16" s="79" customFormat="1" x14ac:dyDescent="0.5">
      <c r="L96" s="183"/>
      <c r="M96" s="183"/>
      <c r="N96" s="183"/>
      <c r="O96" s="183"/>
      <c r="P96" s="183"/>
    </row>
    <row r="97" spans="12:16" s="79" customFormat="1" x14ac:dyDescent="0.5">
      <c r="L97" s="183"/>
      <c r="M97" s="183"/>
      <c r="N97" s="183"/>
      <c r="O97" s="183"/>
      <c r="P97" s="183"/>
    </row>
    <row r="98" spans="12:16" s="79" customFormat="1" x14ac:dyDescent="0.5">
      <c r="L98" s="183"/>
      <c r="M98" s="183"/>
      <c r="N98" s="183"/>
      <c r="O98" s="183"/>
      <c r="P98" s="183"/>
    </row>
    <row r="99" spans="12:16" s="79" customFormat="1" x14ac:dyDescent="0.5">
      <c r="L99" s="183"/>
      <c r="M99" s="183"/>
      <c r="N99" s="183"/>
      <c r="O99" s="183"/>
      <c r="P99" s="183"/>
    </row>
    <row r="100" spans="12:16" s="79" customFormat="1" x14ac:dyDescent="0.5"/>
    <row r="101" spans="12:16" s="79" customFormat="1" x14ac:dyDescent="0.5"/>
    <row r="102" spans="12:16" s="79" customFormat="1" x14ac:dyDescent="0.5"/>
    <row r="103" spans="12:16" s="79" customFormat="1" x14ac:dyDescent="0.5"/>
    <row r="104" spans="12:16" s="79" customFormat="1" x14ac:dyDescent="0.5"/>
    <row r="105" spans="12:16" s="79" customFormat="1" x14ac:dyDescent="0.5"/>
    <row r="106" spans="12:16" s="79" customFormat="1" x14ac:dyDescent="0.5"/>
  </sheetData>
  <sheetProtection algorithmName="SHA-512" hashValue="IuXlkmlRrQFwrzSFdf8trhZNE8yZZX6ZYzGYjJPNBmn5lNxFehsHzodbl8lpfmb/Cs6gMhx2NFVt/UNGGoJo5g==" saltValue="NgaGWDCYdQ2JQdWAHXXLAQ==" spinCount="100000" sheet="1" objects="1" scenarios="1"/>
  <mergeCells count="47">
    <mergeCell ref="B1:I1"/>
    <mergeCell ref="B40:G40"/>
    <mergeCell ref="B41:G41"/>
    <mergeCell ref="B4:C7"/>
    <mergeCell ref="B28:E28"/>
    <mergeCell ref="B29:E29"/>
    <mergeCell ref="D31:F31"/>
    <mergeCell ref="D32:F32"/>
    <mergeCell ref="D33:F33"/>
    <mergeCell ref="B27:E27"/>
    <mergeCell ref="B9:E9"/>
    <mergeCell ref="B15:E15"/>
    <mergeCell ref="B17:E17"/>
    <mergeCell ref="B19:E19"/>
    <mergeCell ref="B25:E25"/>
    <mergeCell ref="B13:D13"/>
    <mergeCell ref="B23:E23"/>
    <mergeCell ref="B26:E26"/>
    <mergeCell ref="B16:E16"/>
    <mergeCell ref="B18:E18"/>
    <mergeCell ref="B20:E20"/>
    <mergeCell ref="B22:E22"/>
    <mergeCell ref="B24:E24"/>
    <mergeCell ref="B21:D21"/>
    <mergeCell ref="D34:F34"/>
    <mergeCell ref="D35:F35"/>
    <mergeCell ref="D36:F36"/>
    <mergeCell ref="D37:F37"/>
    <mergeCell ref="H2:I2"/>
    <mergeCell ref="B2:E3"/>
    <mergeCell ref="D4:E4"/>
    <mergeCell ref="D5:E5"/>
    <mergeCell ref="D6:E6"/>
    <mergeCell ref="D7:E7"/>
    <mergeCell ref="B8:E8"/>
    <mergeCell ref="B14:E14"/>
    <mergeCell ref="B11:D11"/>
    <mergeCell ref="F2:G2"/>
    <mergeCell ref="B10:D10"/>
    <mergeCell ref="B12:D12"/>
    <mergeCell ref="B44:I44"/>
    <mergeCell ref="B45:I45"/>
    <mergeCell ref="H39:I39"/>
    <mergeCell ref="H40:I40"/>
    <mergeCell ref="H41:I41"/>
    <mergeCell ref="B42:I42"/>
    <mergeCell ref="B43:I43"/>
  </mergeCells>
  <hyperlinks>
    <hyperlink ref="B35" r:id="rId1" xr:uid="{00000000-0004-0000-0100-000000000000}"/>
    <hyperlink ref="B34" r:id="rId2" xr:uid="{00000000-0004-0000-0100-000001000000}"/>
    <hyperlink ref="B31" r:id="rId3" display="https://shenasname.ir/" xr:uid="{00000000-0004-0000-0100-000002000000}"/>
    <hyperlink ref="B32" r:id="rId4" xr:uid="{00000000-0004-0000-0100-000003000000}"/>
    <hyperlink ref="B33" r:id="rId5" xr:uid="{00000000-0004-0000-0100-000004000000}"/>
    <hyperlink ref="H39:I39" location="'ورود اطلاعات'!A1" display="کاربرگ ورود اطلاعات" xr:uid="{00000000-0004-0000-0100-000005000000}"/>
    <hyperlink ref="H40:I40" location="'حکم سال 1400'!A1" display="حکم کارگزینی سال 1400" xr:uid="{00000000-0004-0000-0100-000006000000}"/>
    <hyperlink ref="H41" location="'حکم پس از رتبه بندی'!A1" display="ورود" xr:uid="{00000000-0004-0000-0100-000007000000}"/>
    <hyperlink ref="H41:I41" location="'حکم سال 1401'!A1" display="حکم کارگزینی سال 1401" xr:uid="{00000000-0004-0000-0100-000008000000}"/>
  </hyperlinks>
  <printOptions horizontalCentered="1"/>
  <pageMargins left="0.31496062992125984" right="0.31496062992125984" top="0.35433070866141736" bottom="0.35433070866141736" header="0.31496062992125984" footer="0.31496062992125984"/>
  <pageSetup paperSize="9" scale="71"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499984740745262"/>
    <pageSetUpPr fitToPage="1"/>
  </sheetPr>
  <dimension ref="A1:J52"/>
  <sheetViews>
    <sheetView showGridLines="0" showRowColHeaders="0" rightToLeft="1" workbookViewId="0"/>
  </sheetViews>
  <sheetFormatPr defaultColWidth="9" defaultRowHeight="14.35" x14ac:dyDescent="0.5"/>
  <cols>
    <col min="1" max="1" width="3.76171875" style="51" customWidth="1"/>
    <col min="2" max="2" width="34.234375" style="51" customWidth="1"/>
    <col min="3" max="3" width="15" style="51" customWidth="1"/>
    <col min="4" max="4" width="13.76171875" style="51" customWidth="1"/>
    <col min="5" max="5" width="9.3515625" style="51" customWidth="1"/>
    <col min="6" max="6" width="11" style="51" customWidth="1"/>
    <col min="7" max="7" width="8.64453125" style="51" customWidth="1"/>
    <col min="8" max="8" width="13.64453125" style="51" customWidth="1"/>
    <col min="9" max="9" width="9" style="51"/>
    <col min="10" max="10" width="44.3515625" style="49" customWidth="1"/>
    <col min="11" max="16384" width="9" style="51"/>
  </cols>
  <sheetData>
    <row r="1" spans="1:9" ht="29.25" customHeight="1" x14ac:dyDescent="1.3">
      <c r="A1" s="49"/>
      <c r="B1" s="387" t="s">
        <v>203</v>
      </c>
      <c r="C1" s="388" t="s">
        <v>26</v>
      </c>
      <c r="D1" s="388"/>
      <c r="E1" s="388"/>
      <c r="F1" s="50"/>
      <c r="G1" s="50"/>
      <c r="H1" s="50"/>
      <c r="I1" s="49"/>
    </row>
    <row r="2" spans="1:9" ht="17.7" x14ac:dyDescent="0.5">
      <c r="A2" s="49"/>
      <c r="B2" s="387"/>
      <c r="C2" s="389" t="s">
        <v>40</v>
      </c>
      <c r="D2" s="389"/>
      <c r="E2" s="389"/>
      <c r="F2" s="50"/>
      <c r="G2" s="390" t="s">
        <v>41</v>
      </c>
      <c r="H2" s="390"/>
      <c r="I2" s="49"/>
    </row>
    <row r="3" spans="1:9" ht="10.5" customHeight="1" thickBot="1" x14ac:dyDescent="0.85">
      <c r="A3" s="49"/>
      <c r="B3" s="387"/>
      <c r="C3" s="391"/>
      <c r="D3" s="391"/>
      <c r="E3" s="391"/>
      <c r="F3" s="52"/>
      <c r="G3" s="392"/>
      <c r="H3" s="392"/>
      <c r="I3" s="49"/>
    </row>
    <row r="4" spans="1:9" ht="17" x14ac:dyDescent="0.5">
      <c r="A4" s="49"/>
      <c r="B4" s="393" t="s">
        <v>88</v>
      </c>
      <c r="C4" s="394"/>
      <c r="D4" s="395" t="s">
        <v>87</v>
      </c>
      <c r="E4" s="396"/>
      <c r="F4" s="396"/>
      <c r="G4" s="397"/>
      <c r="H4" s="398"/>
      <c r="I4" s="49"/>
    </row>
    <row r="5" spans="1:9" ht="17" x14ac:dyDescent="0.5">
      <c r="A5" s="49"/>
      <c r="B5" s="399" t="s">
        <v>89</v>
      </c>
      <c r="C5" s="383"/>
      <c r="D5" s="383" t="s">
        <v>90</v>
      </c>
      <c r="E5" s="383"/>
      <c r="F5" s="383"/>
      <c r="G5" s="383" t="s">
        <v>91</v>
      </c>
      <c r="H5" s="384"/>
      <c r="I5" s="49"/>
    </row>
    <row r="6" spans="1:9" ht="17" x14ac:dyDescent="0.5">
      <c r="A6" s="49"/>
      <c r="B6" s="219" t="s">
        <v>92</v>
      </c>
      <c r="C6" s="385" t="s">
        <v>93</v>
      </c>
      <c r="D6" s="385"/>
      <c r="E6" s="385"/>
      <c r="F6" s="386" t="s">
        <v>94</v>
      </c>
      <c r="G6" s="383"/>
      <c r="H6" s="384"/>
      <c r="I6" s="49"/>
    </row>
    <row r="7" spans="1:9" ht="23.35" x14ac:dyDescent="0.5">
      <c r="A7" s="49"/>
      <c r="B7" s="213" t="s">
        <v>95</v>
      </c>
      <c r="C7" s="383" t="s">
        <v>96</v>
      </c>
      <c r="D7" s="383"/>
      <c r="E7" s="383"/>
      <c r="F7" s="400" t="s">
        <v>97</v>
      </c>
      <c r="G7" s="400"/>
      <c r="H7" s="401"/>
      <c r="I7" s="49"/>
    </row>
    <row r="8" spans="1:9" ht="17" x14ac:dyDescent="0.5">
      <c r="A8" s="49"/>
      <c r="B8" s="218" t="s">
        <v>37</v>
      </c>
      <c r="C8" s="367" t="s">
        <v>98</v>
      </c>
      <c r="D8" s="367"/>
      <c r="E8" s="214"/>
      <c r="F8" s="367" t="s">
        <v>99</v>
      </c>
      <c r="G8" s="367"/>
      <c r="H8" s="216"/>
      <c r="I8" s="49"/>
    </row>
    <row r="9" spans="1:9" ht="17" x14ac:dyDescent="0.5">
      <c r="A9" s="49"/>
      <c r="B9" s="376" t="s">
        <v>100</v>
      </c>
      <c r="C9" s="367"/>
      <c r="D9" s="367" t="s">
        <v>101</v>
      </c>
      <c r="E9" s="367"/>
      <c r="F9" s="367" t="s">
        <v>102</v>
      </c>
      <c r="G9" s="367"/>
      <c r="H9" s="377"/>
      <c r="I9" s="49"/>
    </row>
    <row r="10" spans="1:9" ht="17" x14ac:dyDescent="0.5">
      <c r="A10" s="49"/>
      <c r="B10" s="376" t="s">
        <v>104</v>
      </c>
      <c r="C10" s="367"/>
      <c r="D10" s="367" t="s">
        <v>103</v>
      </c>
      <c r="E10" s="367"/>
      <c r="F10" s="367"/>
      <c r="G10" s="367"/>
      <c r="H10" s="377"/>
      <c r="I10" s="49"/>
    </row>
    <row r="11" spans="1:9" ht="17" x14ac:dyDescent="0.5">
      <c r="A11" s="49"/>
      <c r="B11" s="376" t="s">
        <v>105</v>
      </c>
      <c r="C11" s="367"/>
      <c r="D11" s="53" t="s">
        <v>106</v>
      </c>
      <c r="E11" s="367"/>
      <c r="F11" s="367"/>
      <c r="G11" s="367" t="s">
        <v>107</v>
      </c>
      <c r="H11" s="377"/>
      <c r="I11" s="49"/>
    </row>
    <row r="12" spans="1:9" ht="17" x14ac:dyDescent="0.5">
      <c r="A12" s="49"/>
      <c r="B12" s="215" t="s">
        <v>108</v>
      </c>
      <c r="C12" s="217"/>
      <c r="D12" s="383" t="s">
        <v>109</v>
      </c>
      <c r="E12" s="383"/>
      <c r="F12" s="383"/>
      <c r="G12" s="383"/>
      <c r="H12" s="384"/>
      <c r="I12" s="49"/>
    </row>
    <row r="13" spans="1:9" ht="18" x14ac:dyDescent="0.5">
      <c r="A13" s="49"/>
      <c r="B13" s="376" t="s">
        <v>110</v>
      </c>
      <c r="C13" s="367"/>
      <c r="D13" s="367"/>
      <c r="E13" s="367"/>
      <c r="F13" s="367"/>
      <c r="G13" s="367"/>
      <c r="H13" s="377"/>
      <c r="I13" s="49"/>
    </row>
    <row r="14" spans="1:9" ht="17" x14ac:dyDescent="0.5">
      <c r="A14" s="49"/>
      <c r="B14" s="376" t="s">
        <v>80</v>
      </c>
      <c r="C14" s="367"/>
      <c r="D14" s="367"/>
      <c r="E14" s="367"/>
      <c r="F14" s="367"/>
      <c r="G14" s="367"/>
      <c r="H14" s="377"/>
      <c r="I14" s="49"/>
    </row>
    <row r="15" spans="1:9" ht="21.35" x14ac:dyDescent="0.5">
      <c r="A15" s="49"/>
      <c r="B15" s="337" t="s">
        <v>111</v>
      </c>
      <c r="C15" s="378"/>
      <c r="D15" s="379" t="s">
        <v>112</v>
      </c>
      <c r="E15" s="338"/>
      <c r="F15" s="338"/>
      <c r="G15" s="338"/>
      <c r="H15" s="339"/>
      <c r="I15" s="49"/>
    </row>
    <row r="16" spans="1:9" ht="18" x14ac:dyDescent="0.5">
      <c r="A16" s="49"/>
      <c r="B16" s="337" t="s">
        <v>113</v>
      </c>
      <c r="C16" s="378"/>
      <c r="D16" s="380" t="s">
        <v>81</v>
      </c>
      <c r="E16" s="381"/>
      <c r="F16" s="382"/>
      <c r="G16" s="54" t="s">
        <v>0</v>
      </c>
      <c r="H16" s="55" t="s">
        <v>1</v>
      </c>
      <c r="I16" s="49"/>
    </row>
    <row r="17" spans="1:9" ht="19.7" x14ac:dyDescent="0.5">
      <c r="A17" s="49"/>
      <c r="B17" s="56"/>
      <c r="C17" s="57"/>
      <c r="D17" s="371" t="s">
        <v>2</v>
      </c>
      <c r="E17" s="368" t="s">
        <v>3</v>
      </c>
      <c r="F17" s="370"/>
      <c r="G17" s="58">
        <f>'جدول محاسبات'!F4</f>
        <v>0</v>
      </c>
      <c r="H17" s="59">
        <f>'جدول محاسبات'!G4</f>
        <v>0</v>
      </c>
      <c r="I17" s="49"/>
    </row>
    <row r="18" spans="1:9" ht="19.7" x14ac:dyDescent="0.5">
      <c r="A18" s="49"/>
      <c r="B18" s="68"/>
      <c r="C18" s="69"/>
      <c r="D18" s="372"/>
      <c r="E18" s="368" t="s">
        <v>4</v>
      </c>
      <c r="F18" s="370"/>
      <c r="G18" s="58">
        <f>'جدول محاسبات'!F5</f>
        <v>0</v>
      </c>
      <c r="H18" s="59">
        <f>'جدول محاسبات'!G5</f>
        <v>0</v>
      </c>
      <c r="I18" s="49"/>
    </row>
    <row r="19" spans="1:9" ht="23.35" x14ac:dyDescent="0.5">
      <c r="A19" s="49"/>
      <c r="B19" s="335" t="s">
        <v>120</v>
      </c>
      <c r="C19" s="336"/>
      <c r="D19" s="372"/>
      <c r="E19" s="368" t="s">
        <v>5</v>
      </c>
      <c r="F19" s="370"/>
      <c r="G19" s="58">
        <f>'جدول محاسبات'!F6</f>
        <v>0</v>
      </c>
      <c r="H19" s="59">
        <f>'جدول محاسبات'!G6</f>
        <v>0</v>
      </c>
      <c r="I19" s="49"/>
    </row>
    <row r="20" spans="1:9" ht="19.7" x14ac:dyDescent="0.5">
      <c r="A20" s="49"/>
      <c r="B20" s="68"/>
      <c r="C20" s="69"/>
      <c r="D20" s="373"/>
      <c r="E20" s="374" t="s">
        <v>6</v>
      </c>
      <c r="F20" s="375"/>
      <c r="G20" s="60">
        <f>SUM(G17:G19)</f>
        <v>0</v>
      </c>
      <c r="H20" s="61">
        <f>SUM(H17:H19)</f>
        <v>0</v>
      </c>
      <c r="I20" s="49"/>
    </row>
    <row r="21" spans="1:9" ht="19.7" x14ac:dyDescent="0.5">
      <c r="A21" s="49"/>
      <c r="B21" s="68"/>
      <c r="C21" s="69"/>
      <c r="D21" s="368" t="s">
        <v>7</v>
      </c>
      <c r="E21" s="369"/>
      <c r="F21" s="370"/>
      <c r="G21" s="58"/>
      <c r="H21" s="59">
        <f>'جدول محاسبات'!G8</f>
        <v>0</v>
      </c>
      <c r="I21" s="49"/>
    </row>
    <row r="22" spans="1:9" ht="19.7" x14ac:dyDescent="0.5">
      <c r="A22" s="49"/>
      <c r="B22" s="68"/>
      <c r="C22" s="69"/>
      <c r="D22" s="368" t="s">
        <v>8</v>
      </c>
      <c r="E22" s="369"/>
      <c r="F22" s="370"/>
      <c r="G22" s="58">
        <f>'جدول محاسبات'!F9</f>
        <v>0</v>
      </c>
      <c r="H22" s="59">
        <f>'جدول محاسبات'!G9</f>
        <v>0</v>
      </c>
      <c r="I22" s="49"/>
    </row>
    <row r="23" spans="1:9" ht="19.7" x14ac:dyDescent="0.5">
      <c r="A23" s="49"/>
      <c r="B23" s="68"/>
      <c r="C23" s="69"/>
      <c r="D23" s="368" t="s">
        <v>39</v>
      </c>
      <c r="E23" s="369"/>
      <c r="F23" s="370"/>
      <c r="G23" s="58"/>
      <c r="H23" s="59">
        <f>'جدول محاسبات'!G10</f>
        <v>0</v>
      </c>
      <c r="I23" s="49"/>
    </row>
    <row r="24" spans="1:9" ht="19.7" x14ac:dyDescent="0.5">
      <c r="A24" s="49"/>
      <c r="B24" s="68"/>
      <c r="C24" s="198"/>
      <c r="D24" s="368" t="s">
        <v>224</v>
      </c>
      <c r="E24" s="369"/>
      <c r="F24" s="370"/>
      <c r="G24" s="58"/>
      <c r="H24" s="59">
        <f>'جدول محاسبات'!G11</f>
        <v>0</v>
      </c>
      <c r="I24" s="49"/>
    </row>
    <row r="25" spans="1:9" ht="19.7" x14ac:dyDescent="0.5">
      <c r="A25" s="49"/>
      <c r="B25" s="343" t="s">
        <v>29</v>
      </c>
      <c r="C25" s="344"/>
      <c r="D25" s="368" t="s">
        <v>209</v>
      </c>
      <c r="E25" s="369"/>
      <c r="F25" s="370"/>
      <c r="G25" s="58"/>
      <c r="H25" s="59">
        <f>'جدول محاسبات'!G12</f>
        <v>0</v>
      </c>
      <c r="I25" s="49"/>
    </row>
    <row r="26" spans="1:9" ht="19.7" x14ac:dyDescent="0.5">
      <c r="A26" s="49"/>
      <c r="B26" s="345" t="s">
        <v>30</v>
      </c>
      <c r="C26" s="346"/>
      <c r="D26" s="368" t="s">
        <v>210</v>
      </c>
      <c r="E26" s="369"/>
      <c r="F26" s="370"/>
      <c r="G26" s="58"/>
      <c r="H26" s="59">
        <f>'جدول محاسبات'!G13</f>
        <v>0</v>
      </c>
      <c r="I26" s="49"/>
    </row>
    <row r="27" spans="1:9" ht="19.7" x14ac:dyDescent="0.5">
      <c r="A27" s="49"/>
      <c r="B27" s="343" t="s">
        <v>117</v>
      </c>
      <c r="C27" s="344"/>
      <c r="D27" s="368" t="s">
        <v>211</v>
      </c>
      <c r="E27" s="369"/>
      <c r="F27" s="370"/>
      <c r="G27" s="58">
        <f>'جدول محاسبات'!F14</f>
        <v>0</v>
      </c>
      <c r="H27" s="59">
        <f>'جدول محاسبات'!G14</f>
        <v>0</v>
      </c>
      <c r="I27" s="49"/>
    </row>
    <row r="28" spans="1:9" ht="19.7" x14ac:dyDescent="0.5">
      <c r="A28" s="49"/>
      <c r="B28" s="343" t="s">
        <v>176</v>
      </c>
      <c r="C28" s="344"/>
      <c r="D28" s="368" t="s">
        <v>212</v>
      </c>
      <c r="E28" s="369"/>
      <c r="F28" s="370"/>
      <c r="G28" s="58"/>
      <c r="H28" s="59">
        <f>'جدول محاسبات'!G15</f>
        <v>0</v>
      </c>
      <c r="I28" s="49"/>
    </row>
    <row r="29" spans="1:9" ht="19.7" x14ac:dyDescent="0.5">
      <c r="A29" s="70"/>
      <c r="B29" s="345" t="s">
        <v>31</v>
      </c>
      <c r="C29" s="347"/>
      <c r="D29" s="368" t="s">
        <v>213</v>
      </c>
      <c r="E29" s="369"/>
      <c r="F29" s="370"/>
      <c r="G29" s="58">
        <f>'جدول محاسبات'!F16</f>
        <v>0</v>
      </c>
      <c r="H29" s="59">
        <f>'جدول محاسبات'!G16</f>
        <v>0</v>
      </c>
      <c r="I29" s="49"/>
    </row>
    <row r="30" spans="1:9" ht="19.7" x14ac:dyDescent="0.5">
      <c r="A30" s="71"/>
      <c r="B30" s="345" t="s">
        <v>118</v>
      </c>
      <c r="C30" s="347"/>
      <c r="D30" s="368" t="s">
        <v>214</v>
      </c>
      <c r="E30" s="369"/>
      <c r="F30" s="370"/>
      <c r="G30" s="58">
        <f>'جدول محاسبات'!F17</f>
        <v>0</v>
      </c>
      <c r="H30" s="59">
        <f>'جدول محاسبات'!G17</f>
        <v>0</v>
      </c>
      <c r="I30" s="49"/>
    </row>
    <row r="31" spans="1:9" ht="19.7" x14ac:dyDescent="0.5">
      <c r="A31" s="49"/>
      <c r="B31" s="68"/>
      <c r="C31" s="69"/>
      <c r="D31" s="368" t="s">
        <v>215</v>
      </c>
      <c r="E31" s="369"/>
      <c r="F31" s="370"/>
      <c r="G31" s="58">
        <f>'جدول محاسبات'!F18</f>
        <v>0</v>
      </c>
      <c r="H31" s="59">
        <f>'جدول محاسبات'!G18</f>
        <v>0</v>
      </c>
      <c r="I31" s="49"/>
    </row>
    <row r="32" spans="1:9" ht="19.7" x14ac:dyDescent="0.5">
      <c r="A32" s="49"/>
      <c r="B32" s="56"/>
      <c r="C32" s="57"/>
      <c r="D32" s="368" t="s">
        <v>216</v>
      </c>
      <c r="E32" s="369"/>
      <c r="F32" s="370"/>
      <c r="G32" s="58">
        <f>'جدول محاسبات'!F19</f>
        <v>0</v>
      </c>
      <c r="H32" s="59">
        <f>'جدول محاسبات'!G19</f>
        <v>0</v>
      </c>
      <c r="I32" s="49"/>
    </row>
    <row r="33" spans="1:9" ht="19.7" x14ac:dyDescent="0.5">
      <c r="A33" s="49"/>
      <c r="B33" s="56"/>
      <c r="C33" s="57"/>
      <c r="D33" s="368" t="s">
        <v>217</v>
      </c>
      <c r="E33" s="369"/>
      <c r="F33" s="370"/>
      <c r="G33" s="58">
        <f>'جدول محاسبات'!F20</f>
        <v>0</v>
      </c>
      <c r="H33" s="59">
        <f>'جدول محاسبات'!G20</f>
        <v>0</v>
      </c>
      <c r="I33" s="49"/>
    </row>
    <row r="34" spans="1:9" ht="19.7" x14ac:dyDescent="0.5">
      <c r="A34" s="49"/>
      <c r="B34" s="56"/>
      <c r="C34" s="57"/>
      <c r="D34" s="368" t="s">
        <v>218</v>
      </c>
      <c r="E34" s="369"/>
      <c r="F34" s="370"/>
      <c r="G34" s="58"/>
      <c r="H34" s="59">
        <f>'جدول محاسبات'!G21</f>
        <v>0</v>
      </c>
      <c r="I34" s="49"/>
    </row>
    <row r="35" spans="1:9" ht="19.7" x14ac:dyDescent="0.5">
      <c r="A35" s="49"/>
      <c r="B35" s="56"/>
      <c r="C35" s="57"/>
      <c r="D35" s="368" t="s">
        <v>219</v>
      </c>
      <c r="E35" s="369"/>
      <c r="F35" s="370"/>
      <c r="G35" s="58">
        <f>'جدول محاسبات'!F23</f>
        <v>0</v>
      </c>
      <c r="H35" s="59">
        <f>'جدول محاسبات'!G23</f>
        <v>0</v>
      </c>
      <c r="I35" s="49"/>
    </row>
    <row r="36" spans="1:9" ht="19.7" x14ac:dyDescent="0.5">
      <c r="A36" s="49"/>
      <c r="B36" s="56"/>
      <c r="C36" s="57"/>
      <c r="D36" s="368" t="s">
        <v>220</v>
      </c>
      <c r="E36" s="369"/>
      <c r="F36" s="370"/>
      <c r="G36" s="58">
        <f>'جدول محاسبات'!F24</f>
        <v>0</v>
      </c>
      <c r="H36" s="59">
        <f>'جدول محاسبات'!G24</f>
        <v>0</v>
      </c>
      <c r="I36" s="49"/>
    </row>
    <row r="37" spans="1:9" ht="19.7" x14ac:dyDescent="0.5">
      <c r="A37" s="49"/>
      <c r="B37" s="56"/>
      <c r="C37" s="57"/>
      <c r="D37" s="368" t="s">
        <v>221</v>
      </c>
      <c r="E37" s="369"/>
      <c r="F37" s="370"/>
      <c r="G37" s="58"/>
      <c r="H37" s="59">
        <f>'جدول محاسبات'!G26</f>
        <v>35000000</v>
      </c>
      <c r="I37" s="49"/>
    </row>
    <row r="38" spans="1:9" ht="19.7" x14ac:dyDescent="0.5">
      <c r="A38" s="49"/>
      <c r="B38" s="56"/>
      <c r="C38" s="57"/>
      <c r="D38" s="368" t="s">
        <v>245</v>
      </c>
      <c r="E38" s="369"/>
      <c r="F38" s="370"/>
      <c r="G38" s="58"/>
      <c r="H38" s="59">
        <f>'جدول محاسبات'!G22</f>
        <v>0</v>
      </c>
      <c r="I38" s="49"/>
    </row>
    <row r="39" spans="1:9" ht="19.7" x14ac:dyDescent="0.5">
      <c r="A39" s="49"/>
      <c r="B39" s="56"/>
      <c r="C39" s="57"/>
      <c r="D39" s="368" t="s">
        <v>265</v>
      </c>
      <c r="E39" s="369"/>
      <c r="F39" s="370"/>
      <c r="G39" s="58"/>
      <c r="H39" s="59"/>
      <c r="I39" s="49"/>
    </row>
    <row r="40" spans="1:9" ht="19.7" x14ac:dyDescent="0.5">
      <c r="A40" s="49"/>
      <c r="B40" s="62"/>
      <c r="C40" s="63"/>
      <c r="D40" s="358" t="s">
        <v>9</v>
      </c>
      <c r="E40" s="359"/>
      <c r="F40" s="360"/>
      <c r="G40" s="64">
        <f>SUM(G20:G38)</f>
        <v>0</v>
      </c>
      <c r="H40" s="65">
        <f>SUM(H20:H38)</f>
        <v>35000000</v>
      </c>
      <c r="I40" s="49"/>
    </row>
    <row r="41" spans="1:9" ht="17" x14ac:dyDescent="0.5">
      <c r="A41" s="49"/>
      <c r="B41" s="337" t="s">
        <v>114</v>
      </c>
      <c r="C41" s="338"/>
      <c r="D41" s="338"/>
      <c r="E41" s="338"/>
      <c r="F41" s="338"/>
      <c r="G41" s="338"/>
      <c r="H41" s="339"/>
      <c r="I41" s="49"/>
    </row>
    <row r="42" spans="1:9" ht="17" x14ac:dyDescent="0.5">
      <c r="A42" s="49"/>
      <c r="B42" s="361" t="s">
        <v>38</v>
      </c>
      <c r="C42" s="362"/>
      <c r="D42" s="362"/>
      <c r="E42" s="362"/>
      <c r="F42" s="362"/>
      <c r="G42" s="362"/>
      <c r="H42" s="363"/>
      <c r="I42" s="49"/>
    </row>
    <row r="43" spans="1:9" ht="18" x14ac:dyDescent="0.5">
      <c r="A43" s="49"/>
      <c r="B43" s="364" t="s">
        <v>115</v>
      </c>
      <c r="C43" s="365"/>
      <c r="D43" s="366" t="s">
        <v>82</v>
      </c>
      <c r="E43" s="367"/>
      <c r="F43" s="367"/>
      <c r="G43" s="367"/>
      <c r="H43" s="66"/>
      <c r="I43" s="49"/>
    </row>
    <row r="44" spans="1:9" ht="18" x14ac:dyDescent="0.5">
      <c r="A44" s="49"/>
      <c r="B44" s="337" t="s">
        <v>83</v>
      </c>
      <c r="C44" s="338"/>
      <c r="D44" s="348"/>
      <c r="E44" s="348"/>
      <c r="F44" s="349"/>
      <c r="G44" s="350" t="s">
        <v>28</v>
      </c>
      <c r="H44" s="351"/>
      <c r="I44" s="49"/>
    </row>
    <row r="45" spans="1:9" ht="17" x14ac:dyDescent="0.5">
      <c r="A45" s="49"/>
      <c r="B45" s="354" t="s">
        <v>116</v>
      </c>
      <c r="C45" s="355"/>
      <c r="D45" s="67"/>
      <c r="E45" s="67"/>
      <c r="F45" s="67"/>
      <c r="G45" s="350"/>
      <c r="H45" s="351"/>
      <c r="I45" s="49"/>
    </row>
    <row r="46" spans="1:9" ht="17" x14ac:dyDescent="0.5">
      <c r="A46" s="49"/>
      <c r="B46" s="356" t="s">
        <v>27</v>
      </c>
      <c r="C46" s="357"/>
      <c r="D46" s="357" t="s">
        <v>84</v>
      </c>
      <c r="E46" s="357"/>
      <c r="F46" s="357"/>
      <c r="G46" s="352"/>
      <c r="H46" s="353"/>
      <c r="I46" s="49"/>
    </row>
    <row r="47" spans="1:9" ht="17" x14ac:dyDescent="0.5">
      <c r="A47" s="49"/>
      <c r="B47" s="337" t="s">
        <v>85</v>
      </c>
      <c r="C47" s="338"/>
      <c r="D47" s="338"/>
      <c r="E47" s="338"/>
      <c r="F47" s="338"/>
      <c r="G47" s="338"/>
      <c r="H47" s="339"/>
      <c r="I47" s="49"/>
    </row>
    <row r="48" spans="1:9" ht="17.350000000000001" thickBot="1" x14ac:dyDescent="0.55000000000000004">
      <c r="B48" s="340" t="s">
        <v>86</v>
      </c>
      <c r="C48" s="341"/>
      <c r="D48" s="341"/>
      <c r="E48" s="341"/>
      <c r="F48" s="341"/>
      <c r="G48" s="341"/>
      <c r="H48" s="342"/>
    </row>
    <row r="49" spans="1:9" x14ac:dyDescent="0.5">
      <c r="A49" s="49"/>
      <c r="B49" s="49"/>
      <c r="C49" s="49"/>
      <c r="D49" s="49"/>
      <c r="E49" s="49"/>
      <c r="F49" s="49"/>
      <c r="G49" s="49"/>
      <c r="H49" s="49"/>
      <c r="I49" s="49"/>
    </row>
    <row r="50" spans="1:9" x14ac:dyDescent="0.5">
      <c r="A50" s="49"/>
      <c r="D50" s="49"/>
      <c r="E50" s="49"/>
      <c r="F50" s="49"/>
      <c r="G50" s="49"/>
      <c r="H50" s="49"/>
      <c r="I50" s="49"/>
    </row>
    <row r="51" spans="1:9" ht="108" customHeight="1" x14ac:dyDescent="0.5">
      <c r="A51" s="49"/>
      <c r="D51" s="49"/>
      <c r="E51" s="49"/>
      <c r="F51" s="49"/>
      <c r="G51" s="49"/>
      <c r="H51" s="49"/>
      <c r="I51" s="49"/>
    </row>
    <row r="52" spans="1:9" x14ac:dyDescent="0.5">
      <c r="A52" s="49"/>
      <c r="D52" s="49"/>
      <c r="E52" s="49"/>
      <c r="F52" s="49"/>
      <c r="G52" s="49"/>
      <c r="H52" s="49"/>
      <c r="I52" s="49"/>
    </row>
  </sheetData>
  <sheetProtection algorithmName="SHA-512" hashValue="xt3grAEPLvKdKlwCyOsvYI/1UXK0hT98IlR/b5ipNwF8Q3NWSER6C9J/WqpLCSZGyyyg2adAbkQo/UURvmB0BQ==" saltValue="uGCdChbx7QQ9f947dbkklA==" spinCount="100000" sheet="1" objects="1" scenarios="1"/>
  <mergeCells count="76">
    <mergeCell ref="D12:H12"/>
    <mergeCell ref="C7:E7"/>
    <mergeCell ref="C6:E6"/>
    <mergeCell ref="F6:H6"/>
    <mergeCell ref="B1:B3"/>
    <mergeCell ref="C1:E1"/>
    <mergeCell ref="C2:E2"/>
    <mergeCell ref="G2:H2"/>
    <mergeCell ref="C3:E3"/>
    <mergeCell ref="G3:H3"/>
    <mergeCell ref="B4:C4"/>
    <mergeCell ref="D4:H4"/>
    <mergeCell ref="B5:C5"/>
    <mergeCell ref="D5:F5"/>
    <mergeCell ref="G5:H5"/>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B41:H41"/>
    <mergeCell ref="B42:H42"/>
    <mergeCell ref="B43:C43"/>
    <mergeCell ref="D43:G43"/>
    <mergeCell ref="D32:F32"/>
    <mergeCell ref="D33:F33"/>
    <mergeCell ref="D38:F38"/>
    <mergeCell ref="D35:F35"/>
    <mergeCell ref="D36:F36"/>
    <mergeCell ref="D34:F34"/>
    <mergeCell ref="D37:F37"/>
    <mergeCell ref="D39:F39"/>
    <mergeCell ref="B19:C19"/>
    <mergeCell ref="B47:H47"/>
    <mergeCell ref="B48:H48"/>
    <mergeCell ref="B25:C25"/>
    <mergeCell ref="B26:C26"/>
    <mergeCell ref="B27:C27"/>
    <mergeCell ref="B28:C28"/>
    <mergeCell ref="B29:C29"/>
    <mergeCell ref="B30:C30"/>
    <mergeCell ref="B44:C44"/>
    <mergeCell ref="D44:F44"/>
    <mergeCell ref="G44:H46"/>
    <mergeCell ref="B45:C45"/>
    <mergeCell ref="B46:C46"/>
    <mergeCell ref="D46:F46"/>
    <mergeCell ref="D40:F40"/>
  </mergeCells>
  <hyperlinks>
    <hyperlink ref="B29" r:id="rId1" xr:uid="{00000000-0004-0000-0200-000000000000}"/>
    <hyperlink ref="B26" r:id="rId2" xr:uid="{00000000-0004-0000-0200-000001000000}"/>
    <hyperlink ref="B30" r:id="rId3" xr:uid="{00000000-0004-0000-0200-000002000000}"/>
    <hyperlink ref="B19:C19" location="'ورود اطلاعات'!A1" display="بازگشت به صفحه اصلی" xr:uid="{00000000-0004-0000-0200-000003000000}"/>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pageSetUpPr fitToPage="1"/>
  </sheetPr>
  <dimension ref="A1:J55"/>
  <sheetViews>
    <sheetView showGridLines="0" showRowColHeaders="0" rightToLeft="1" workbookViewId="0"/>
  </sheetViews>
  <sheetFormatPr defaultColWidth="9" defaultRowHeight="14.35" x14ac:dyDescent="0.5"/>
  <cols>
    <col min="1" max="1" width="3.76171875" style="51" customWidth="1"/>
    <col min="2" max="2" width="34.234375" style="51" customWidth="1"/>
    <col min="3" max="3" width="15" style="51" customWidth="1"/>
    <col min="4" max="4" width="17.76171875" style="51" customWidth="1"/>
    <col min="5" max="5" width="9.3515625" style="51" customWidth="1"/>
    <col min="6" max="6" width="11" style="51" customWidth="1"/>
    <col min="7" max="7" width="8.64453125" style="51" customWidth="1"/>
    <col min="8" max="8" width="13.64453125" style="51" customWidth="1"/>
    <col min="9" max="9" width="13.76171875" style="51" customWidth="1"/>
    <col min="10" max="10" width="73.87890625" style="49" customWidth="1"/>
    <col min="11" max="11" width="32.3515625" style="51" customWidth="1"/>
    <col min="12" max="16384" width="9" style="51"/>
  </cols>
  <sheetData>
    <row r="1" spans="1:9" ht="29.25" customHeight="1" x14ac:dyDescent="1.3">
      <c r="A1" s="49"/>
      <c r="B1" s="387" t="s">
        <v>257</v>
      </c>
      <c r="C1" s="388" t="s">
        <v>26</v>
      </c>
      <c r="D1" s="388"/>
      <c r="E1" s="388"/>
      <c r="F1" s="50"/>
      <c r="G1" s="50"/>
      <c r="H1" s="50"/>
      <c r="I1" s="49"/>
    </row>
    <row r="2" spans="1:9" ht="17.7" x14ac:dyDescent="0.5">
      <c r="A2" s="49"/>
      <c r="B2" s="387"/>
      <c r="C2" s="389" t="s">
        <v>40</v>
      </c>
      <c r="D2" s="389"/>
      <c r="E2" s="389"/>
      <c r="F2" s="50"/>
      <c r="G2" s="390" t="s">
        <v>41</v>
      </c>
      <c r="H2" s="390"/>
      <c r="I2" s="49"/>
    </row>
    <row r="3" spans="1:9" ht="10.5" customHeight="1" thickBot="1" x14ac:dyDescent="0.85">
      <c r="A3" s="49"/>
      <c r="B3" s="387"/>
      <c r="C3" s="391"/>
      <c r="D3" s="391"/>
      <c r="E3" s="391"/>
      <c r="F3" s="52"/>
      <c r="G3" s="392"/>
      <c r="H3" s="392"/>
      <c r="I3" s="49"/>
    </row>
    <row r="4" spans="1:9" ht="17" x14ac:dyDescent="0.5">
      <c r="A4" s="49"/>
      <c r="B4" s="393" t="s">
        <v>88</v>
      </c>
      <c r="C4" s="394"/>
      <c r="D4" s="395" t="s">
        <v>87</v>
      </c>
      <c r="E4" s="396"/>
      <c r="F4" s="396"/>
      <c r="G4" s="397"/>
      <c r="H4" s="398"/>
      <c r="I4" s="49"/>
    </row>
    <row r="5" spans="1:9" ht="17" x14ac:dyDescent="0.5">
      <c r="A5" s="49"/>
      <c r="B5" s="399" t="s">
        <v>89</v>
      </c>
      <c r="C5" s="383"/>
      <c r="D5" s="383" t="s">
        <v>90</v>
      </c>
      <c r="E5" s="383"/>
      <c r="F5" s="383"/>
      <c r="G5" s="383" t="s">
        <v>91</v>
      </c>
      <c r="H5" s="384"/>
      <c r="I5" s="49"/>
    </row>
    <row r="6" spans="1:9" ht="17" x14ac:dyDescent="0.5">
      <c r="A6" s="49"/>
      <c r="B6" s="219" t="s">
        <v>92</v>
      </c>
      <c r="C6" s="385" t="s">
        <v>93</v>
      </c>
      <c r="D6" s="385"/>
      <c r="E6" s="385"/>
      <c r="F6" s="386" t="s">
        <v>94</v>
      </c>
      <c r="G6" s="383"/>
      <c r="H6" s="384"/>
      <c r="I6" s="49"/>
    </row>
    <row r="7" spans="1:9" ht="23.35" x14ac:dyDescent="0.5">
      <c r="A7" s="49"/>
      <c r="B7" s="213" t="s">
        <v>95</v>
      </c>
      <c r="C7" s="383" t="s">
        <v>96</v>
      </c>
      <c r="D7" s="383"/>
      <c r="E7" s="383"/>
      <c r="F7" s="400" t="s">
        <v>97</v>
      </c>
      <c r="G7" s="400"/>
      <c r="H7" s="401"/>
      <c r="I7" s="49"/>
    </row>
    <row r="8" spans="1:9" ht="17" x14ac:dyDescent="0.5">
      <c r="A8" s="49"/>
      <c r="B8" s="218" t="s">
        <v>37</v>
      </c>
      <c r="C8" s="367" t="s">
        <v>98</v>
      </c>
      <c r="D8" s="367"/>
      <c r="E8" s="214"/>
      <c r="F8" s="367" t="s">
        <v>99</v>
      </c>
      <c r="G8" s="367"/>
      <c r="H8" s="216"/>
      <c r="I8" s="49"/>
    </row>
    <row r="9" spans="1:9" ht="17" x14ac:dyDescent="0.5">
      <c r="A9" s="49"/>
      <c r="B9" s="376" t="s">
        <v>100</v>
      </c>
      <c r="C9" s="367"/>
      <c r="D9" s="367" t="s">
        <v>101</v>
      </c>
      <c r="E9" s="367"/>
      <c r="F9" s="367" t="s">
        <v>102</v>
      </c>
      <c r="G9" s="367"/>
      <c r="H9" s="377"/>
      <c r="I9" s="49"/>
    </row>
    <row r="10" spans="1:9" ht="17" x14ac:dyDescent="0.5">
      <c r="A10" s="49"/>
      <c r="B10" s="376" t="s">
        <v>104</v>
      </c>
      <c r="C10" s="367"/>
      <c r="D10" s="367" t="s">
        <v>103</v>
      </c>
      <c r="E10" s="367"/>
      <c r="F10" s="367"/>
      <c r="G10" s="367"/>
      <c r="H10" s="377"/>
      <c r="I10" s="49"/>
    </row>
    <row r="11" spans="1:9" ht="17" x14ac:dyDescent="0.5">
      <c r="A11" s="49"/>
      <c r="B11" s="376" t="s">
        <v>105</v>
      </c>
      <c r="C11" s="367"/>
      <c r="D11" s="53" t="s">
        <v>106</v>
      </c>
      <c r="E11" s="367"/>
      <c r="F11" s="367"/>
      <c r="G11" s="367" t="s">
        <v>107</v>
      </c>
      <c r="H11" s="377"/>
      <c r="I11" s="49"/>
    </row>
    <row r="12" spans="1:9" ht="17" x14ac:dyDescent="0.5">
      <c r="A12" s="49"/>
      <c r="B12" s="215" t="s">
        <v>108</v>
      </c>
      <c r="C12" s="217"/>
      <c r="D12" s="383" t="s">
        <v>109</v>
      </c>
      <c r="E12" s="383"/>
      <c r="F12" s="383"/>
      <c r="G12" s="383"/>
      <c r="H12" s="384"/>
      <c r="I12" s="49"/>
    </row>
    <row r="13" spans="1:9" ht="18" x14ac:dyDescent="0.5">
      <c r="A13" s="49"/>
      <c r="B13" s="376" t="s">
        <v>110</v>
      </c>
      <c r="C13" s="367"/>
      <c r="D13" s="367"/>
      <c r="E13" s="367"/>
      <c r="F13" s="367"/>
      <c r="G13" s="367"/>
      <c r="H13" s="377"/>
      <c r="I13" s="49"/>
    </row>
    <row r="14" spans="1:9" ht="17" x14ac:dyDescent="0.5">
      <c r="A14" s="49"/>
      <c r="B14" s="376" t="s">
        <v>80</v>
      </c>
      <c r="C14" s="367"/>
      <c r="D14" s="367"/>
      <c r="E14" s="367"/>
      <c r="F14" s="367"/>
      <c r="G14" s="367"/>
      <c r="H14" s="377"/>
      <c r="I14" s="49"/>
    </row>
    <row r="15" spans="1:9" ht="21.35" x14ac:dyDescent="0.5">
      <c r="A15" s="49"/>
      <c r="B15" s="337" t="s">
        <v>111</v>
      </c>
      <c r="C15" s="378"/>
      <c r="D15" s="379" t="s">
        <v>112</v>
      </c>
      <c r="E15" s="338"/>
      <c r="F15" s="338"/>
      <c r="G15" s="338"/>
      <c r="H15" s="339"/>
      <c r="I15" s="49"/>
    </row>
    <row r="16" spans="1:9" ht="18" x14ac:dyDescent="0.5">
      <c r="A16" s="49"/>
      <c r="B16" s="337" t="s">
        <v>113</v>
      </c>
      <c r="C16" s="378"/>
      <c r="D16" s="380" t="s">
        <v>81</v>
      </c>
      <c r="E16" s="381"/>
      <c r="F16" s="382"/>
      <c r="G16" s="54" t="s">
        <v>0</v>
      </c>
      <c r="H16" s="55" t="s">
        <v>1</v>
      </c>
      <c r="I16" s="49"/>
    </row>
    <row r="17" spans="1:9" ht="21" customHeight="1" x14ac:dyDescent="0.5">
      <c r="A17" s="49"/>
      <c r="B17" s="56"/>
      <c r="C17" s="57"/>
      <c r="D17" s="371" t="s">
        <v>2</v>
      </c>
      <c r="E17" s="368" t="s">
        <v>3</v>
      </c>
      <c r="F17" s="370"/>
      <c r="G17" s="58">
        <f>'جدول محاسبات'!H4</f>
        <v>0</v>
      </c>
      <c r="H17" s="59">
        <f>'جدول محاسبات'!I4</f>
        <v>0</v>
      </c>
      <c r="I17" s="49"/>
    </row>
    <row r="18" spans="1:9" ht="19.7" x14ac:dyDescent="0.5">
      <c r="A18" s="49"/>
      <c r="B18" s="56"/>
      <c r="C18" s="57"/>
      <c r="D18" s="372"/>
      <c r="E18" s="368" t="s">
        <v>4</v>
      </c>
      <c r="F18" s="370"/>
      <c r="G18" s="58">
        <f>'جدول محاسبات'!H5</f>
        <v>0</v>
      </c>
      <c r="H18" s="59">
        <f>'جدول محاسبات'!I5</f>
        <v>0</v>
      </c>
      <c r="I18" s="49"/>
    </row>
    <row r="19" spans="1:9" ht="19.7" x14ac:dyDescent="0.5">
      <c r="A19" s="49"/>
      <c r="B19" s="56"/>
      <c r="C19" s="57"/>
      <c r="D19" s="372"/>
      <c r="E19" s="368" t="s">
        <v>5</v>
      </c>
      <c r="F19" s="370"/>
      <c r="G19" s="58">
        <f>'جدول محاسبات'!H6</f>
        <v>0</v>
      </c>
      <c r="H19" s="59">
        <f>'جدول محاسبات'!I6</f>
        <v>0</v>
      </c>
      <c r="I19" s="49"/>
    </row>
    <row r="20" spans="1:9" ht="19.7" x14ac:dyDescent="0.5">
      <c r="A20" s="49"/>
      <c r="B20" s="402" t="s">
        <v>29</v>
      </c>
      <c r="C20" s="403"/>
      <c r="D20" s="373"/>
      <c r="E20" s="374" t="s">
        <v>6</v>
      </c>
      <c r="F20" s="375"/>
      <c r="G20" s="60">
        <f>SUM(G17:G19)</f>
        <v>0</v>
      </c>
      <c r="H20" s="61">
        <f>SUM(H17:H19)</f>
        <v>0</v>
      </c>
      <c r="I20" s="49"/>
    </row>
    <row r="21" spans="1:9" ht="19.7" x14ac:dyDescent="0.5">
      <c r="A21" s="49"/>
      <c r="B21" s="404" t="s">
        <v>30</v>
      </c>
      <c r="C21" s="405"/>
      <c r="D21" s="368" t="s">
        <v>7</v>
      </c>
      <c r="E21" s="369"/>
      <c r="F21" s="370"/>
      <c r="G21" s="58"/>
      <c r="H21" s="59">
        <f>'جدول محاسبات'!I8</f>
        <v>0</v>
      </c>
      <c r="I21" s="49"/>
    </row>
    <row r="22" spans="1:9" ht="19.7" x14ac:dyDescent="0.5">
      <c r="A22" s="49"/>
      <c r="B22" s="402" t="s">
        <v>117</v>
      </c>
      <c r="C22" s="403"/>
      <c r="D22" s="368" t="s">
        <v>8</v>
      </c>
      <c r="E22" s="369"/>
      <c r="F22" s="370"/>
      <c r="G22" s="58">
        <f>'جدول محاسبات'!H9</f>
        <v>0</v>
      </c>
      <c r="H22" s="59">
        <f>'جدول محاسبات'!I9</f>
        <v>0</v>
      </c>
      <c r="I22" s="49"/>
    </row>
    <row r="23" spans="1:9" ht="19.7" x14ac:dyDescent="0.5">
      <c r="A23" s="49"/>
      <c r="B23" s="402" t="s">
        <v>176</v>
      </c>
      <c r="C23" s="403"/>
      <c r="D23" s="368" t="s">
        <v>39</v>
      </c>
      <c r="E23" s="369"/>
      <c r="F23" s="370"/>
      <c r="G23" s="58"/>
      <c r="H23" s="59">
        <f>'جدول محاسبات'!I10</f>
        <v>0</v>
      </c>
      <c r="I23" s="49"/>
    </row>
    <row r="24" spans="1:9" ht="19.7" x14ac:dyDescent="0.5">
      <c r="A24" s="49"/>
      <c r="B24" s="406" t="s">
        <v>31</v>
      </c>
      <c r="C24" s="407"/>
      <c r="D24" s="368" t="s">
        <v>224</v>
      </c>
      <c r="E24" s="369"/>
      <c r="F24" s="370"/>
      <c r="G24" s="58"/>
      <c r="H24" s="59">
        <f>'جدول محاسبات'!I11</f>
        <v>0</v>
      </c>
      <c r="I24" s="49"/>
    </row>
    <row r="25" spans="1:9" ht="19.7" x14ac:dyDescent="0.5">
      <c r="A25" s="49"/>
      <c r="B25" s="406" t="s">
        <v>118</v>
      </c>
      <c r="C25" s="407"/>
      <c r="D25" s="368" t="s">
        <v>209</v>
      </c>
      <c r="E25" s="369"/>
      <c r="F25" s="370"/>
      <c r="G25" s="58"/>
      <c r="H25" s="59">
        <f>'جدول محاسبات'!I12</f>
        <v>0</v>
      </c>
      <c r="I25" s="49"/>
    </row>
    <row r="26" spans="1:9" ht="19.7" x14ac:dyDescent="0.5">
      <c r="A26" s="49"/>
      <c r="B26" s="56"/>
      <c r="C26" s="57"/>
      <c r="D26" s="368" t="s">
        <v>210</v>
      </c>
      <c r="E26" s="369"/>
      <c r="F26" s="370"/>
      <c r="G26" s="58"/>
      <c r="H26" s="59">
        <f>'جدول محاسبات'!I13</f>
        <v>0</v>
      </c>
      <c r="I26" s="49"/>
    </row>
    <row r="27" spans="1:9" ht="19.7" x14ac:dyDescent="0.5">
      <c r="A27" s="49"/>
      <c r="B27" s="56"/>
      <c r="C27" s="57"/>
      <c r="D27" s="368" t="s">
        <v>211</v>
      </c>
      <c r="E27" s="369"/>
      <c r="F27" s="370"/>
      <c r="G27" s="58">
        <f>'جدول محاسبات'!H14</f>
        <v>0</v>
      </c>
      <c r="H27" s="59">
        <f>'جدول محاسبات'!I14</f>
        <v>0</v>
      </c>
      <c r="I27" s="49"/>
    </row>
    <row r="28" spans="1:9" ht="19.7" x14ac:dyDescent="0.5">
      <c r="A28" s="49"/>
      <c r="B28" s="56"/>
      <c r="C28" s="57"/>
      <c r="D28" s="368" t="s">
        <v>212</v>
      </c>
      <c r="E28" s="369"/>
      <c r="F28" s="370"/>
      <c r="G28" s="58"/>
      <c r="H28" s="59">
        <f>'جدول محاسبات'!I15</f>
        <v>0</v>
      </c>
      <c r="I28" s="49"/>
    </row>
    <row r="29" spans="1:9" ht="19.7" x14ac:dyDescent="0.5">
      <c r="A29" s="49"/>
      <c r="B29" s="56"/>
      <c r="C29" s="57"/>
      <c r="D29" s="368" t="s">
        <v>213</v>
      </c>
      <c r="E29" s="369"/>
      <c r="F29" s="370"/>
      <c r="G29" s="58">
        <f>'جدول محاسبات'!H16</f>
        <v>0</v>
      </c>
      <c r="H29" s="59">
        <f>'جدول محاسبات'!I16</f>
        <v>0</v>
      </c>
      <c r="I29" s="49"/>
    </row>
    <row r="30" spans="1:9" ht="19.7" x14ac:dyDescent="0.5">
      <c r="A30" s="49"/>
      <c r="B30" s="56"/>
      <c r="C30" s="57"/>
      <c r="D30" s="368" t="s">
        <v>214</v>
      </c>
      <c r="E30" s="369"/>
      <c r="F30" s="370"/>
      <c r="G30" s="58">
        <f>'جدول محاسبات'!H17</f>
        <v>0</v>
      </c>
      <c r="H30" s="59">
        <f>'جدول محاسبات'!I17</f>
        <v>0</v>
      </c>
      <c r="I30" s="49"/>
    </row>
    <row r="31" spans="1:9" ht="23.35" x14ac:dyDescent="0.5">
      <c r="A31" s="49"/>
      <c r="B31" s="408" t="s">
        <v>120</v>
      </c>
      <c r="C31" s="409"/>
      <c r="D31" s="368" t="s">
        <v>215</v>
      </c>
      <c r="E31" s="369"/>
      <c r="F31" s="370"/>
      <c r="G31" s="58">
        <f>'جدول محاسبات'!H18</f>
        <v>0</v>
      </c>
      <c r="H31" s="59">
        <f>'جدول محاسبات'!I18</f>
        <v>0</v>
      </c>
      <c r="I31" s="49"/>
    </row>
    <row r="32" spans="1:9" ht="19.7" x14ac:dyDescent="0.5">
      <c r="A32" s="49"/>
      <c r="B32" s="410"/>
      <c r="C32" s="411"/>
      <c r="D32" s="368" t="s">
        <v>216</v>
      </c>
      <c r="E32" s="369"/>
      <c r="F32" s="370"/>
      <c r="G32" s="58">
        <f>'جدول محاسبات'!H19</f>
        <v>0</v>
      </c>
      <c r="H32" s="59">
        <f>'جدول محاسبات'!I19</f>
        <v>0</v>
      </c>
      <c r="I32" s="49"/>
    </row>
    <row r="33" spans="1:9" ht="19.7" x14ac:dyDescent="0.5">
      <c r="A33" s="49"/>
      <c r="B33" s="56"/>
      <c r="C33" s="57"/>
      <c r="D33" s="368" t="s">
        <v>217</v>
      </c>
      <c r="E33" s="369"/>
      <c r="F33" s="370"/>
      <c r="G33" s="58">
        <f>'جدول محاسبات'!H20</f>
        <v>0</v>
      </c>
      <c r="H33" s="59">
        <f>'جدول محاسبات'!I20</f>
        <v>0</v>
      </c>
      <c r="I33" s="49"/>
    </row>
    <row r="34" spans="1:9" ht="19.7" x14ac:dyDescent="0.5">
      <c r="A34" s="49"/>
      <c r="B34" s="56"/>
      <c r="C34" s="57"/>
      <c r="D34" s="368" t="s">
        <v>218</v>
      </c>
      <c r="E34" s="369"/>
      <c r="F34" s="370"/>
      <c r="G34" s="58"/>
      <c r="H34" s="59">
        <f>'جدول محاسبات'!I21</f>
        <v>0</v>
      </c>
      <c r="I34" s="49"/>
    </row>
    <row r="35" spans="1:9" ht="19.7" x14ac:dyDescent="0.5">
      <c r="A35" s="49"/>
      <c r="B35" s="56"/>
      <c r="C35" s="57"/>
      <c r="D35" s="368" t="s">
        <v>276</v>
      </c>
      <c r="E35" s="369"/>
      <c r="F35" s="370"/>
      <c r="G35" s="58"/>
      <c r="H35" s="59">
        <f>'جدول محاسبات'!I25</f>
        <v>0</v>
      </c>
      <c r="I35" s="49"/>
    </row>
    <row r="36" spans="1:9" ht="19.7" x14ac:dyDescent="0.5">
      <c r="A36" s="49"/>
      <c r="B36" s="56"/>
      <c r="C36" s="57"/>
      <c r="D36" s="368" t="s">
        <v>274</v>
      </c>
      <c r="E36" s="369"/>
      <c r="F36" s="370"/>
      <c r="G36" s="58"/>
      <c r="H36" s="59">
        <f>'جدول محاسبات'!I27</f>
        <v>56000000</v>
      </c>
      <c r="I36" s="49"/>
    </row>
    <row r="37" spans="1:9" ht="19.7" x14ac:dyDescent="0.5">
      <c r="A37" s="49"/>
      <c r="B37" s="56"/>
      <c r="C37" s="57"/>
      <c r="D37" s="368" t="s">
        <v>275</v>
      </c>
      <c r="E37" s="369"/>
      <c r="F37" s="370"/>
      <c r="G37" s="58"/>
      <c r="H37" s="240">
        <v>0</v>
      </c>
      <c r="I37" s="49"/>
    </row>
    <row r="38" spans="1:9" ht="19.7" x14ac:dyDescent="0.5">
      <c r="A38" s="49"/>
      <c r="B38" s="56"/>
      <c r="C38" s="57"/>
      <c r="D38" s="368" t="s">
        <v>245</v>
      </c>
      <c r="E38" s="369"/>
      <c r="F38" s="370"/>
      <c r="G38" s="58"/>
      <c r="H38" s="59">
        <f>'جدول محاسبات'!I22</f>
        <v>0</v>
      </c>
      <c r="I38" s="49"/>
    </row>
    <row r="39" spans="1:9" ht="19.7" x14ac:dyDescent="0.5">
      <c r="A39" s="49"/>
      <c r="B39" s="62"/>
      <c r="C39" s="63"/>
      <c r="D39" s="358" t="s">
        <v>9</v>
      </c>
      <c r="E39" s="359"/>
      <c r="F39" s="360"/>
      <c r="G39" s="64">
        <f>SUM(G20:G38)</f>
        <v>0</v>
      </c>
      <c r="H39" s="65">
        <f>SUM(H20:H38)</f>
        <v>56000000</v>
      </c>
      <c r="I39" s="49"/>
    </row>
    <row r="40" spans="1:9" ht="17" x14ac:dyDescent="0.5">
      <c r="A40" s="49"/>
      <c r="B40" s="337" t="s">
        <v>114</v>
      </c>
      <c r="C40" s="338"/>
      <c r="D40" s="338"/>
      <c r="E40" s="338"/>
      <c r="F40" s="338"/>
      <c r="G40" s="338"/>
      <c r="H40" s="339"/>
      <c r="I40" s="49"/>
    </row>
    <row r="41" spans="1:9" ht="17" x14ac:dyDescent="0.5">
      <c r="A41" s="49"/>
      <c r="B41" s="361" t="s">
        <v>38</v>
      </c>
      <c r="C41" s="362"/>
      <c r="D41" s="362"/>
      <c r="E41" s="362"/>
      <c r="F41" s="362"/>
      <c r="G41" s="362"/>
      <c r="H41" s="363"/>
      <c r="I41" s="49"/>
    </row>
    <row r="42" spans="1:9" ht="18" x14ac:dyDescent="0.5">
      <c r="A42" s="49"/>
      <c r="B42" s="364" t="s">
        <v>115</v>
      </c>
      <c r="C42" s="365"/>
      <c r="D42" s="366" t="s">
        <v>82</v>
      </c>
      <c r="E42" s="367"/>
      <c r="F42" s="367"/>
      <c r="G42" s="367"/>
      <c r="H42" s="66"/>
      <c r="I42" s="49"/>
    </row>
    <row r="43" spans="1:9" ht="18" x14ac:dyDescent="0.5">
      <c r="A43" s="49"/>
      <c r="B43" s="337" t="s">
        <v>83</v>
      </c>
      <c r="C43" s="338"/>
      <c r="D43" s="348"/>
      <c r="E43" s="348"/>
      <c r="F43" s="349"/>
      <c r="G43" s="350" t="s">
        <v>28</v>
      </c>
      <c r="H43" s="351"/>
      <c r="I43" s="49"/>
    </row>
    <row r="44" spans="1:9" ht="17" x14ac:dyDescent="0.5">
      <c r="A44" s="49"/>
      <c r="B44" s="354" t="s">
        <v>116</v>
      </c>
      <c r="C44" s="355"/>
      <c r="D44" s="67"/>
      <c r="E44" s="67"/>
      <c r="F44" s="67"/>
      <c r="G44" s="350"/>
      <c r="H44" s="351"/>
      <c r="I44" s="49"/>
    </row>
    <row r="45" spans="1:9" ht="17" x14ac:dyDescent="0.5">
      <c r="A45" s="49"/>
      <c r="B45" s="356" t="s">
        <v>27</v>
      </c>
      <c r="C45" s="357"/>
      <c r="D45" s="357" t="s">
        <v>84</v>
      </c>
      <c r="E45" s="357"/>
      <c r="F45" s="357"/>
      <c r="G45" s="352"/>
      <c r="H45" s="353"/>
      <c r="I45" s="49"/>
    </row>
    <row r="46" spans="1:9" ht="17" x14ac:dyDescent="0.5">
      <c r="A46" s="49"/>
      <c r="B46" s="337" t="s">
        <v>85</v>
      </c>
      <c r="C46" s="338"/>
      <c r="D46" s="338"/>
      <c r="E46" s="338"/>
      <c r="F46" s="338"/>
      <c r="G46" s="338"/>
      <c r="H46" s="339"/>
      <c r="I46" s="49"/>
    </row>
    <row r="47" spans="1:9" ht="17.350000000000001" thickBot="1" x14ac:dyDescent="0.55000000000000004">
      <c r="B47" s="340" t="s">
        <v>86</v>
      </c>
      <c r="C47" s="341"/>
      <c r="D47" s="341"/>
      <c r="E47" s="341"/>
      <c r="F47" s="341"/>
      <c r="G47" s="341"/>
      <c r="H47" s="342"/>
    </row>
    <row r="48" spans="1:9" x14ac:dyDescent="0.5">
      <c r="A48" s="49"/>
      <c r="B48" s="49"/>
      <c r="C48" s="49"/>
      <c r="D48" s="49"/>
      <c r="E48" s="49"/>
      <c r="F48" s="49"/>
      <c r="G48" s="49"/>
      <c r="H48" s="49"/>
      <c r="I48" s="49"/>
    </row>
    <row r="49" spans="1:9" ht="143.25" customHeight="1" x14ac:dyDescent="0.5">
      <c r="A49" s="49"/>
      <c r="D49" s="49"/>
      <c r="E49" s="49"/>
      <c r="F49" s="49"/>
      <c r="G49" s="49"/>
      <c r="H49" s="49"/>
      <c r="I49" s="49"/>
    </row>
    <row r="50" spans="1:9" x14ac:dyDescent="0.5">
      <c r="A50" s="49"/>
      <c r="D50" s="49"/>
      <c r="E50" s="49"/>
      <c r="F50" s="49"/>
      <c r="G50" s="49"/>
      <c r="H50" s="49"/>
      <c r="I50" s="49"/>
    </row>
    <row r="51" spans="1:9" x14ac:dyDescent="0.5">
      <c r="A51" s="49"/>
      <c r="D51" s="49"/>
      <c r="E51" s="49"/>
      <c r="F51" s="49"/>
      <c r="G51" s="49"/>
      <c r="H51" s="49"/>
      <c r="I51" s="49"/>
    </row>
    <row r="52" spans="1:9" x14ac:dyDescent="0.5">
      <c r="A52" s="49"/>
      <c r="D52" s="49"/>
      <c r="E52" s="49"/>
      <c r="F52" s="49"/>
      <c r="G52" s="49"/>
      <c r="H52" s="49"/>
      <c r="I52" s="49"/>
    </row>
    <row r="53" spans="1:9" x14ac:dyDescent="0.5">
      <c r="A53" s="49"/>
      <c r="D53" s="49"/>
      <c r="E53" s="49"/>
      <c r="F53" s="49"/>
      <c r="G53" s="49"/>
      <c r="H53" s="49"/>
      <c r="I53" s="49"/>
    </row>
    <row r="54" spans="1:9" x14ac:dyDescent="0.5">
      <c r="A54" s="49"/>
      <c r="D54" s="49"/>
      <c r="E54" s="49"/>
      <c r="F54" s="49"/>
      <c r="G54" s="49"/>
      <c r="H54" s="49"/>
      <c r="I54" s="49"/>
    </row>
    <row r="55" spans="1:9" x14ac:dyDescent="0.5">
      <c r="A55" s="49"/>
      <c r="B55" s="49"/>
      <c r="C55" s="49"/>
      <c r="D55" s="49"/>
      <c r="E55" s="49"/>
      <c r="F55" s="49"/>
      <c r="G55" s="49"/>
      <c r="H55" s="49"/>
      <c r="I55" s="49"/>
    </row>
  </sheetData>
  <sheetProtection algorithmName="SHA-512" hashValue="dClnLRmHt4WaxpPq5AOumDr7jcjnecPIOnU7Al8OIyR9jiBaZTwwVih6mjA2HfW/+wEBnjIP4EvxkAofzoUShA==" saltValue="19aLl9Fls8I1BqBsWPNxsw==" spinCount="100000" sheet="1" objects="1" scenarios="1"/>
  <mergeCells count="76">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G43:H45"/>
    <mergeCell ref="B44:C44"/>
    <mergeCell ref="B45:C45"/>
    <mergeCell ref="D45:F45"/>
    <mergeCell ref="D32:F32"/>
    <mergeCell ref="D33:F33"/>
    <mergeCell ref="D38:F38"/>
    <mergeCell ref="D39:F39"/>
    <mergeCell ref="D34:F34"/>
    <mergeCell ref="D37:F37"/>
    <mergeCell ref="D36:F36"/>
    <mergeCell ref="D35:F35"/>
    <mergeCell ref="B46:H46"/>
    <mergeCell ref="B47:H47"/>
    <mergeCell ref="B20:C20"/>
    <mergeCell ref="B21:C21"/>
    <mergeCell ref="B22:C22"/>
    <mergeCell ref="B23:C23"/>
    <mergeCell ref="B24:C24"/>
    <mergeCell ref="B25:C25"/>
    <mergeCell ref="B31:C31"/>
    <mergeCell ref="B32:C32"/>
    <mergeCell ref="B40:H40"/>
    <mergeCell ref="B41:H41"/>
    <mergeCell ref="B42:C42"/>
    <mergeCell ref="D42:G42"/>
    <mergeCell ref="B43:C43"/>
    <mergeCell ref="D43:F43"/>
  </mergeCells>
  <hyperlinks>
    <hyperlink ref="B24" r:id="rId1" xr:uid="{00000000-0004-0000-0300-000000000000}"/>
    <hyperlink ref="B21" r:id="rId2" xr:uid="{00000000-0004-0000-0300-000001000000}"/>
    <hyperlink ref="B25" r:id="rId3" xr:uid="{00000000-0004-0000-0300-000002000000}"/>
    <hyperlink ref="B31:C31" location="'ورود اطلاعات'!A1" display="بازگشت به صفحه اصلی" xr:uid="{00000000-0004-0000-0300-000003000000}"/>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C4"/>
  <sheetViews>
    <sheetView rightToLeft="1" workbookViewId="0">
      <selection activeCell="E8" sqref="E8"/>
    </sheetView>
  </sheetViews>
  <sheetFormatPr defaultRowHeight="14.35" x14ac:dyDescent="0.5"/>
  <cols>
    <col min="2" max="2" width="14.87890625" customWidth="1"/>
    <col min="3" max="3" width="16" customWidth="1"/>
  </cols>
  <sheetData>
    <row r="2" spans="2:3" x14ac:dyDescent="0.5">
      <c r="B2" s="255">
        <f>'ورود اطلاعات'!C16</f>
        <v>0</v>
      </c>
      <c r="C2" s="255">
        <f>B2*3048</f>
        <v>0</v>
      </c>
    </row>
    <row r="3" spans="2:3" x14ac:dyDescent="0.5">
      <c r="B3" s="255">
        <f>'ورود اطلاعات'!C17</f>
        <v>0</v>
      </c>
      <c r="C3" s="255">
        <f>B3*3048</f>
        <v>0</v>
      </c>
    </row>
    <row r="4" spans="2:3" ht="23.35" x14ac:dyDescent="0.5">
      <c r="C4" s="203">
        <f>SUM(C2:C3)</f>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Q93"/>
  <sheetViews>
    <sheetView rightToLeft="1" topLeftCell="B1" workbookViewId="0">
      <selection activeCell="I3" sqref="I3"/>
    </sheetView>
  </sheetViews>
  <sheetFormatPr defaultColWidth="9" defaultRowHeight="14.35" x14ac:dyDescent="0.5"/>
  <cols>
    <col min="1" max="4" width="9" style="117"/>
    <col min="5" max="5" width="13.8203125" style="117" customWidth="1"/>
    <col min="6" max="6" width="9" style="117"/>
    <col min="7" max="7" width="36.234375" style="117" bestFit="1" customWidth="1"/>
    <col min="8" max="8" width="10.3515625" style="117" bestFit="1" customWidth="1"/>
    <col min="9" max="9" width="9" style="117"/>
    <col min="10" max="10" width="10.1171875" style="117" bestFit="1" customWidth="1"/>
    <col min="11" max="15" width="9" style="117"/>
    <col min="16" max="16" width="10.87890625" style="117" bestFit="1" customWidth="1"/>
    <col min="17" max="23" width="9" style="117"/>
    <col min="24" max="24" width="8.1171875" style="51" customWidth="1"/>
    <col min="25" max="25" width="18.64453125" style="51" customWidth="1"/>
    <col min="26" max="26" width="11.64453125" style="51" customWidth="1"/>
    <col min="27" max="27" width="12.64453125" style="51" customWidth="1"/>
    <col min="28" max="28" width="11.64453125" style="51" customWidth="1"/>
    <col min="29" max="29" width="12.64453125" style="51" customWidth="1"/>
    <col min="30" max="30" width="13.87890625" style="51" bestFit="1" customWidth="1"/>
    <col min="31" max="35" width="9.1171875" style="51"/>
    <col min="36" max="36" width="14.76171875" style="51" customWidth="1"/>
    <col min="37" max="37" width="9.1171875" style="51"/>
    <col min="38" max="38" width="11.234375" style="51" bestFit="1" customWidth="1"/>
    <col min="39" max="39" width="9.1171875" style="51"/>
    <col min="40" max="40" width="12.76171875" style="51" bestFit="1" customWidth="1"/>
    <col min="41" max="41" width="9.1171875" style="51"/>
    <col min="42" max="42" width="16.3515625" style="51" bestFit="1" customWidth="1"/>
    <col min="43" max="43" width="10.234375" style="51" customWidth="1"/>
    <col min="44" max="16384" width="9" style="117"/>
  </cols>
  <sheetData>
    <row r="1" spans="2:29" ht="14.7" thickBot="1" x14ac:dyDescent="0.55000000000000004">
      <c r="C1" s="130"/>
      <c r="O1" s="117">
        <v>0</v>
      </c>
      <c r="U1" s="117">
        <v>0</v>
      </c>
    </row>
    <row r="2" spans="2:29" ht="21.35" x14ac:dyDescent="0.5">
      <c r="B2" s="131"/>
      <c r="C2" s="132">
        <v>4</v>
      </c>
      <c r="D2" s="133" t="s">
        <v>44</v>
      </c>
      <c r="E2" s="130" t="s">
        <v>36</v>
      </c>
      <c r="G2" s="204" t="s">
        <v>228</v>
      </c>
      <c r="H2" s="181">
        <f>SUM(Sheet2!N46:N63)</f>
        <v>0</v>
      </c>
      <c r="I2" s="181">
        <f>SUM('جدول محاسبات'!I7:I26)</f>
        <v>0</v>
      </c>
      <c r="L2" s="117">
        <v>0</v>
      </c>
      <c r="M2" s="117">
        <v>0</v>
      </c>
      <c r="O2" s="117">
        <v>700</v>
      </c>
      <c r="Q2" s="134" t="s">
        <v>58</v>
      </c>
      <c r="S2" s="117" t="s">
        <v>12</v>
      </c>
      <c r="U2" s="117">
        <v>1</v>
      </c>
    </row>
    <row r="3" spans="2:29" ht="21.7" thickBot="1" x14ac:dyDescent="0.55000000000000004">
      <c r="C3" s="132">
        <v>5</v>
      </c>
      <c r="D3" s="133" t="s">
        <v>45</v>
      </c>
      <c r="E3" s="130" t="s">
        <v>33</v>
      </c>
      <c r="G3" s="204" t="s">
        <v>229</v>
      </c>
      <c r="H3" s="181">
        <f>H2-'جدول محاسبات'!G29</f>
        <v>-35000000</v>
      </c>
      <c r="L3" s="117">
        <v>210</v>
      </c>
      <c r="M3" s="117">
        <v>810</v>
      </c>
      <c r="O3" s="117">
        <v>1500</v>
      </c>
      <c r="Q3" s="135" t="s">
        <v>59</v>
      </c>
      <c r="S3" s="117" t="s">
        <v>13</v>
      </c>
      <c r="U3" s="117">
        <v>2</v>
      </c>
    </row>
    <row r="4" spans="2:29" ht="21.7" thickBot="1" x14ac:dyDescent="0.55000000000000004">
      <c r="C4" s="132">
        <v>6</v>
      </c>
      <c r="D4" s="133" t="s">
        <v>46</v>
      </c>
      <c r="E4" s="130" t="s">
        <v>34</v>
      </c>
      <c r="G4" s="204" t="s">
        <v>226</v>
      </c>
      <c r="H4" s="181">
        <f>IF(H2&lt;35000000,35000000-H2,0)</f>
        <v>35000000</v>
      </c>
      <c r="L4" s="117">
        <v>420</v>
      </c>
      <c r="O4" s="117">
        <v>2000</v>
      </c>
      <c r="U4" s="117">
        <v>3</v>
      </c>
      <c r="Y4" s="136" t="s">
        <v>51</v>
      </c>
      <c r="Z4" s="137"/>
      <c r="AA4" s="138" t="s">
        <v>57</v>
      </c>
      <c r="AB4" s="139" t="s">
        <v>62</v>
      </c>
      <c r="AC4" s="138" t="s">
        <v>62</v>
      </c>
    </row>
    <row r="5" spans="2:29" ht="21.35" x14ac:dyDescent="1.1000000000000001">
      <c r="C5" s="132">
        <v>7</v>
      </c>
      <c r="D5" s="133" t="s">
        <v>47</v>
      </c>
      <c r="E5" s="130" t="s">
        <v>35</v>
      </c>
      <c r="G5" s="204" t="s">
        <v>227</v>
      </c>
      <c r="H5" s="199">
        <f>IF(H6&gt;0,H6-(H6*2),0)</f>
        <v>0</v>
      </c>
      <c r="L5" s="117">
        <v>630</v>
      </c>
      <c r="U5" s="117">
        <v>4</v>
      </c>
      <c r="Y5" s="140" t="s">
        <v>36</v>
      </c>
      <c r="Z5" s="1">
        <v>1300</v>
      </c>
      <c r="AA5" s="2">
        <f>IF(Y5=Sheet2!H24,Z5,0)</f>
        <v>0</v>
      </c>
      <c r="AB5" s="1">
        <v>18</v>
      </c>
      <c r="AC5" s="2">
        <f>IF(Sheet2!H24=Y5,AB5,0)</f>
        <v>0</v>
      </c>
    </row>
    <row r="6" spans="2:29" ht="21.35" x14ac:dyDescent="1.1000000000000001">
      <c r="C6" s="132">
        <v>8</v>
      </c>
      <c r="D6" s="133" t="s">
        <v>48</v>
      </c>
      <c r="E6" s="130" t="s">
        <v>49</v>
      </c>
      <c r="G6" s="204" t="s">
        <v>230</v>
      </c>
      <c r="H6" s="181">
        <f>H3-25000000</f>
        <v>-60000000</v>
      </c>
      <c r="L6" s="117">
        <v>840</v>
      </c>
      <c r="U6" s="117">
        <v>5</v>
      </c>
      <c r="Y6" s="141" t="s">
        <v>33</v>
      </c>
      <c r="Z6" s="3">
        <v>1450</v>
      </c>
      <c r="AA6" s="4">
        <f>IF(Y6=Sheet2!H24,Z6,0)</f>
        <v>0</v>
      </c>
      <c r="AB6" s="3">
        <v>25</v>
      </c>
      <c r="AC6" s="2">
        <f>IF(Sheet2!H24=Y6,AB6,0)</f>
        <v>0</v>
      </c>
    </row>
    <row r="7" spans="2:29" ht="21.35" x14ac:dyDescent="1.1000000000000001">
      <c r="C7" s="132">
        <v>9</v>
      </c>
      <c r="E7" s="130" t="s">
        <v>50</v>
      </c>
      <c r="G7" s="204"/>
      <c r="H7" s="148"/>
      <c r="L7" s="117">
        <v>1050</v>
      </c>
      <c r="U7" s="117">
        <v>6</v>
      </c>
      <c r="Y7" s="141" t="s">
        <v>34</v>
      </c>
      <c r="Z7" s="3">
        <v>1700</v>
      </c>
      <c r="AA7" s="4">
        <f>IF(Y7=Sheet2!H24,Z7,0)</f>
        <v>0</v>
      </c>
      <c r="AB7" s="3">
        <v>32</v>
      </c>
      <c r="AC7" s="2">
        <f>IF(Sheet2!H24=Y7,AB7,0)</f>
        <v>0</v>
      </c>
    </row>
    <row r="8" spans="2:29" ht="21.7" thickBot="1" x14ac:dyDescent="1.1499999999999999">
      <c r="C8" s="132">
        <v>10</v>
      </c>
      <c r="G8" s="204" t="s">
        <v>231</v>
      </c>
      <c r="H8" s="199"/>
      <c r="L8" s="117">
        <v>1260</v>
      </c>
      <c r="U8" s="117">
        <v>7</v>
      </c>
      <c r="Y8" s="141" t="s">
        <v>35</v>
      </c>
      <c r="Z8" s="3">
        <v>2100</v>
      </c>
      <c r="AA8" s="4">
        <f>IF(Y8=Sheet2!H24,Z8,0)</f>
        <v>2100</v>
      </c>
      <c r="AB8" s="3">
        <v>39</v>
      </c>
      <c r="AC8" s="2">
        <f>IF(Sheet2!H24=Y8,AB8,0)</f>
        <v>39</v>
      </c>
    </row>
    <row r="9" spans="2:29" ht="23.7" thickBot="1" x14ac:dyDescent="1.1499999999999999">
      <c r="C9" s="132">
        <v>11</v>
      </c>
      <c r="E9" s="265">
        <f>IF(Sheet2!I2&lt;56000000,56000000-Sheet2!I2,0)</f>
        <v>56000000</v>
      </c>
      <c r="G9" s="412"/>
      <c r="H9" s="412"/>
      <c r="L9" s="117">
        <v>1470</v>
      </c>
      <c r="U9" s="117">
        <v>8</v>
      </c>
      <c r="Y9" s="141" t="s">
        <v>49</v>
      </c>
      <c r="Z9" s="3">
        <v>2600</v>
      </c>
      <c r="AA9" s="4">
        <f>IF(Y9=Sheet2!H24,Z9,0)</f>
        <v>0</v>
      </c>
      <c r="AB9" s="3">
        <v>46</v>
      </c>
      <c r="AC9" s="2">
        <f>IF(Sheet2!H24=Y9,AB9,0)</f>
        <v>0</v>
      </c>
    </row>
    <row r="10" spans="2:29" ht="23.7" thickBot="1" x14ac:dyDescent="1.1499999999999999">
      <c r="C10" s="132">
        <v>12</v>
      </c>
      <c r="G10" s="116" t="s">
        <v>173</v>
      </c>
      <c r="H10" s="142">
        <v>0</v>
      </c>
      <c r="L10" s="117">
        <v>1680</v>
      </c>
      <c r="U10" s="117">
        <v>9</v>
      </c>
      <c r="Y10" s="143" t="s">
        <v>50</v>
      </c>
      <c r="Z10" s="5">
        <v>3100</v>
      </c>
      <c r="AA10" s="6">
        <f>IF(Y10=Sheet2!H24,Z10,0)</f>
        <v>0</v>
      </c>
      <c r="AB10" s="5">
        <v>53</v>
      </c>
      <c r="AC10" s="20">
        <f>IF(Sheet2!H24=Y10,AB10,0)</f>
        <v>0</v>
      </c>
    </row>
    <row r="11" spans="2:29" ht="21.7" thickBot="1" x14ac:dyDescent="1.1499999999999999">
      <c r="C11" s="132">
        <v>13</v>
      </c>
      <c r="U11" s="117">
        <v>10</v>
      </c>
      <c r="Y11" s="421" t="s">
        <v>57</v>
      </c>
      <c r="Z11" s="422"/>
      <c r="AA11" s="32">
        <f>SUM(AA5:AA10)</f>
        <v>2100</v>
      </c>
      <c r="AB11" s="24">
        <f>SUM(AC5:AC10)</f>
        <v>39</v>
      </c>
      <c r="AC11" s="21">
        <f>(AB11*Sheet2!H26)+((Sheet2!H27/12)*AB11)</f>
        <v>0</v>
      </c>
    </row>
    <row r="12" spans="2:29" ht="21.35" x14ac:dyDescent="1.1000000000000001">
      <c r="C12" s="132">
        <v>14</v>
      </c>
      <c r="U12" s="117">
        <v>11</v>
      </c>
      <c r="Y12" s="430" t="s">
        <v>65</v>
      </c>
      <c r="Z12" s="431"/>
      <c r="AA12" s="431"/>
      <c r="AB12" s="432"/>
      <c r="AC12" s="22">
        <f>Sheet2!H28/2</f>
        <v>0</v>
      </c>
    </row>
    <row r="13" spans="2:29" ht="21.7" thickBot="1" x14ac:dyDescent="1.1499999999999999">
      <c r="C13" s="132">
        <v>15</v>
      </c>
      <c r="U13" s="117">
        <v>12</v>
      </c>
      <c r="Y13" s="433" t="s">
        <v>66</v>
      </c>
      <c r="Z13" s="434"/>
      <c r="AA13" s="434"/>
      <c r="AB13" s="434"/>
      <c r="AC13" s="23">
        <f>AC11+AC12</f>
        <v>0</v>
      </c>
    </row>
    <row r="14" spans="2:29" ht="18.350000000000001" thickBot="1" x14ac:dyDescent="1.05">
      <c r="C14" s="132">
        <v>16</v>
      </c>
      <c r="G14" s="412" t="s">
        <v>79</v>
      </c>
      <c r="H14" s="412"/>
      <c r="U14" s="117">
        <v>13</v>
      </c>
    </row>
    <row r="15" spans="2:29" ht="19.7" x14ac:dyDescent="0.5">
      <c r="C15" s="132">
        <v>17</v>
      </c>
      <c r="G15" s="41" t="s">
        <v>74</v>
      </c>
      <c r="H15" s="144">
        <v>0</v>
      </c>
      <c r="U15" s="117">
        <v>14</v>
      </c>
    </row>
    <row r="16" spans="2:29" ht="20" thickBot="1" x14ac:dyDescent="0.55000000000000004">
      <c r="G16" s="43" t="s">
        <v>75</v>
      </c>
      <c r="H16" s="145">
        <v>0</v>
      </c>
      <c r="U16" s="117">
        <v>15</v>
      </c>
    </row>
    <row r="17" spans="5:32" ht="14.7" thickBot="1" x14ac:dyDescent="0.55000000000000004">
      <c r="U17" s="117">
        <v>16</v>
      </c>
    </row>
    <row r="18" spans="5:32" x14ac:dyDescent="0.5">
      <c r="G18" s="414" t="s">
        <v>119</v>
      </c>
      <c r="H18" s="414"/>
      <c r="U18" s="117">
        <v>17</v>
      </c>
    </row>
    <row r="19" spans="5:32" ht="14.7" thickBot="1" x14ac:dyDescent="0.55000000000000004">
      <c r="G19" s="415"/>
      <c r="H19" s="415"/>
      <c r="U19" s="117">
        <v>18</v>
      </c>
    </row>
    <row r="20" spans="5:32" ht="14.7" thickBot="1" x14ac:dyDescent="0.55000000000000004">
      <c r="U20" s="117">
        <v>19</v>
      </c>
    </row>
    <row r="21" spans="5:32" ht="20" thickBot="1" x14ac:dyDescent="1">
      <c r="G21" s="416" t="s">
        <v>56</v>
      </c>
      <c r="H21" s="417"/>
      <c r="L21" s="272" t="s">
        <v>249</v>
      </c>
      <c r="M21" s="272"/>
      <c r="U21" s="117">
        <v>20</v>
      </c>
    </row>
    <row r="22" spans="5:32" ht="23.35" x14ac:dyDescent="1.1000000000000001">
      <c r="E22" s="242">
        <f>ROUND('جدول محاسبات'!H6-'جدول محاسبات'!F6,0)</f>
        <v>0</v>
      </c>
      <c r="G22" s="42" t="s">
        <v>42</v>
      </c>
      <c r="H22" s="146">
        <v>5</v>
      </c>
      <c r="L22" s="254" t="s">
        <v>177</v>
      </c>
      <c r="M22" s="201" t="s">
        <v>179</v>
      </c>
      <c r="U22" s="117">
        <v>21</v>
      </c>
      <c r="X22" s="29" t="s">
        <v>52</v>
      </c>
      <c r="Y22" s="30" t="s">
        <v>0</v>
      </c>
      <c r="Z22" s="31"/>
      <c r="AA22" s="117"/>
      <c r="AB22" s="117"/>
      <c r="AC22" s="117"/>
      <c r="AD22" s="117"/>
    </row>
    <row r="23" spans="5:32" ht="21.35" x14ac:dyDescent="1.1000000000000001">
      <c r="G23" s="42" t="s">
        <v>43</v>
      </c>
      <c r="H23" s="146" t="s">
        <v>44</v>
      </c>
      <c r="U23" s="117">
        <v>22</v>
      </c>
      <c r="X23" s="28">
        <v>1</v>
      </c>
      <c r="Y23" s="7">
        <v>2400</v>
      </c>
      <c r="Z23" s="11">
        <f>IF(X23=Sheet2!H22,Y23,0)</f>
        <v>0</v>
      </c>
      <c r="AA23" s="117"/>
      <c r="AB23" s="117"/>
      <c r="AC23" s="117"/>
      <c r="AD23" s="117"/>
    </row>
    <row r="24" spans="5:32" ht="21.35" x14ac:dyDescent="1.1000000000000001">
      <c r="G24" s="42" t="s">
        <v>32</v>
      </c>
      <c r="H24" s="146" t="s">
        <v>35</v>
      </c>
      <c r="L24" s="272" t="s">
        <v>251</v>
      </c>
      <c r="M24" s="272"/>
      <c r="U24" s="117">
        <v>23</v>
      </c>
      <c r="X24" s="44">
        <v>2</v>
      </c>
      <c r="Y24" s="45">
        <v>2600</v>
      </c>
      <c r="Z24" s="4">
        <f>IF(X24=Sheet2!H22,Y24,0)</f>
        <v>0</v>
      </c>
      <c r="AA24" s="117"/>
      <c r="AB24" s="117"/>
      <c r="AC24" s="117"/>
      <c r="AD24" s="117"/>
    </row>
    <row r="25" spans="5:32" ht="21.35" x14ac:dyDescent="1.1000000000000001">
      <c r="G25" s="42" t="s">
        <v>60</v>
      </c>
      <c r="H25" s="146" t="s">
        <v>58</v>
      </c>
      <c r="L25" s="197" t="s">
        <v>182</v>
      </c>
      <c r="M25" s="201" t="s">
        <v>13</v>
      </c>
      <c r="U25" s="117">
        <v>24</v>
      </c>
      <c r="X25" s="28">
        <v>3</v>
      </c>
      <c r="Y25" s="7">
        <v>2800</v>
      </c>
      <c r="Z25" s="11">
        <f>IF(X25=Sheet2!H22,Y25,0)</f>
        <v>0</v>
      </c>
      <c r="AA25" s="117"/>
      <c r="AB25" s="117"/>
      <c r="AC25" s="117"/>
      <c r="AD25" s="117"/>
    </row>
    <row r="26" spans="5:32" ht="21.35" x14ac:dyDescent="1.1000000000000001">
      <c r="G26" s="42" t="s">
        <v>61</v>
      </c>
      <c r="H26" s="146">
        <v>0</v>
      </c>
      <c r="U26" s="117">
        <v>25</v>
      </c>
      <c r="X26" s="44">
        <v>4</v>
      </c>
      <c r="Y26" s="45">
        <v>3000</v>
      </c>
      <c r="Z26" s="4">
        <f>IF(X26=Sheet2!H22,Y26,0)</f>
        <v>0</v>
      </c>
      <c r="AA26" s="117"/>
      <c r="AB26" s="117"/>
      <c r="AC26" s="117"/>
      <c r="AD26" s="117"/>
    </row>
    <row r="27" spans="5:32" ht="21.35" x14ac:dyDescent="1.1000000000000001">
      <c r="G27" s="42" t="s">
        <v>63</v>
      </c>
      <c r="H27" s="146">
        <v>0</v>
      </c>
      <c r="U27" s="117">
        <v>26</v>
      </c>
      <c r="X27" s="28">
        <v>5</v>
      </c>
      <c r="Y27" s="7">
        <v>3200</v>
      </c>
      <c r="Z27" s="11">
        <f>IF(X27=Sheet2!H22,Y27,0)</f>
        <v>3200</v>
      </c>
      <c r="AA27" s="117"/>
      <c r="AB27" s="117"/>
      <c r="AC27" s="117"/>
      <c r="AD27" s="117"/>
    </row>
    <row r="28" spans="5:32" ht="21.7" thickBot="1" x14ac:dyDescent="1.1499999999999999">
      <c r="G28" s="43" t="s">
        <v>64</v>
      </c>
      <c r="H28" s="145">
        <v>0</v>
      </c>
      <c r="U28" s="117">
        <v>27</v>
      </c>
      <c r="X28" s="44">
        <v>6</v>
      </c>
      <c r="Y28" s="45">
        <v>3400</v>
      </c>
      <c r="Z28" s="4">
        <f>IF(X28=Sheet2!H22,Y28,0)</f>
        <v>0</v>
      </c>
      <c r="AA28" s="117"/>
      <c r="AB28" s="117"/>
      <c r="AC28" s="117"/>
      <c r="AD28" s="117"/>
    </row>
    <row r="29" spans="5:32" ht="21.7" thickBot="1" x14ac:dyDescent="1.1499999999999999">
      <c r="U29" s="117">
        <v>28</v>
      </c>
      <c r="X29" s="28">
        <v>7</v>
      </c>
      <c r="Y29" s="7">
        <v>3600</v>
      </c>
      <c r="Z29" s="11">
        <f>IF(X29=Sheet2!H22,Y29,0)</f>
        <v>0</v>
      </c>
      <c r="AA29" s="117"/>
      <c r="AB29" s="117"/>
      <c r="AC29" s="117"/>
      <c r="AD29" s="117"/>
      <c r="AF29" s="147"/>
    </row>
    <row r="30" spans="5:32" ht="21.35" x14ac:dyDescent="1.1000000000000001">
      <c r="G30" s="49"/>
      <c r="H30" s="49"/>
      <c r="I30" s="49"/>
      <c r="U30" s="117">
        <v>29</v>
      </c>
      <c r="X30" s="44">
        <v>8</v>
      </c>
      <c r="Y30" s="45">
        <v>3800</v>
      </c>
      <c r="Z30" s="4">
        <f>IF(X30=Sheet2!H22,Y30,0)</f>
        <v>0</v>
      </c>
      <c r="AA30" s="117"/>
      <c r="AB30" s="117"/>
      <c r="AC30" s="117"/>
      <c r="AD30" s="117"/>
    </row>
    <row r="31" spans="5:32" ht="21.35" x14ac:dyDescent="1.1000000000000001">
      <c r="G31" s="418" t="s">
        <v>70</v>
      </c>
      <c r="H31" s="418"/>
      <c r="J31" s="242" t="e">
        <f>ROUND(Sheet2!K33,0)</f>
        <v>#DIV/0!</v>
      </c>
      <c r="K31" s="247" t="e">
        <f>('ورود اطلاعات'!C21*100)/Sheet2!I36</f>
        <v>#DIV/0!</v>
      </c>
      <c r="U31" s="117">
        <v>30</v>
      </c>
      <c r="X31" s="28">
        <v>9</v>
      </c>
      <c r="Y31" s="7">
        <v>4000</v>
      </c>
      <c r="Z31" s="11">
        <f>IF(X31=Sheet2!H22,Y31,0)</f>
        <v>0</v>
      </c>
      <c r="AA31" s="117"/>
      <c r="AB31" s="117"/>
      <c r="AC31" s="117"/>
      <c r="AD31" s="117"/>
      <c r="AF31" s="148"/>
    </row>
    <row r="32" spans="5:32" ht="21.35" x14ac:dyDescent="1.1000000000000001">
      <c r="G32" s="418" t="s">
        <v>71</v>
      </c>
      <c r="H32" s="418"/>
      <c r="J32" s="242" t="e">
        <f>ROUND(Sheet2!K34,0)</f>
        <v>#DIV/0!</v>
      </c>
      <c r="K32" s="247" t="e">
        <f>('ورود اطلاعات'!C22*100)/Sheet2!I37</f>
        <v>#DIV/0!</v>
      </c>
      <c r="X32" s="44">
        <v>10</v>
      </c>
      <c r="Y32" s="45">
        <v>4200</v>
      </c>
      <c r="Z32" s="4">
        <f>IF(X32=Sheet2!H22,Y32,0)</f>
        <v>0</v>
      </c>
      <c r="AA32" s="117"/>
      <c r="AB32" s="117"/>
      <c r="AC32" s="117"/>
      <c r="AD32" s="117"/>
    </row>
    <row r="33" spans="7:43" ht="21.35" x14ac:dyDescent="1.1000000000000001">
      <c r="G33" s="418" t="s">
        <v>124</v>
      </c>
      <c r="H33" s="418"/>
      <c r="J33" s="242" t="e">
        <f>ROUND(Sheet2!K31,0)</f>
        <v>#DIV/0!</v>
      </c>
      <c r="K33" s="247" t="e">
        <f>('ورود اطلاعات'!C23*100)/Sheet2!AQ38</f>
        <v>#DIV/0!</v>
      </c>
      <c r="X33" s="28">
        <v>11</v>
      </c>
      <c r="Y33" s="7">
        <v>4400</v>
      </c>
      <c r="Z33" s="11">
        <f>IF(X33=Sheet2!H22,Y33,0)</f>
        <v>0</v>
      </c>
      <c r="AA33" s="117"/>
      <c r="AB33" s="117"/>
      <c r="AC33" s="117"/>
      <c r="AD33" s="117"/>
    </row>
    <row r="34" spans="7:43" ht="21.35" x14ac:dyDescent="1.1000000000000001">
      <c r="G34" s="418" t="s">
        <v>129</v>
      </c>
      <c r="H34" s="418"/>
      <c r="J34" s="242" t="e">
        <f>ROUND(Sheet2!K35,0)</f>
        <v>#DIV/0!</v>
      </c>
      <c r="K34" s="247" t="e">
        <f>('ورود اطلاعات'!C24*100)/Sheet2!AQ38</f>
        <v>#DIV/0!</v>
      </c>
      <c r="X34" s="44">
        <v>12</v>
      </c>
      <c r="Y34" s="45">
        <v>4600</v>
      </c>
      <c r="Z34" s="4">
        <f>IF(X34=Sheet2!H22,Y34,0)</f>
        <v>0</v>
      </c>
      <c r="AA34" s="117"/>
      <c r="AB34" s="117"/>
      <c r="AC34" s="117"/>
      <c r="AD34" s="117"/>
    </row>
    <row r="35" spans="7:43" ht="21.35" x14ac:dyDescent="1.1000000000000001">
      <c r="G35" s="418" t="s">
        <v>222</v>
      </c>
      <c r="H35" s="418"/>
      <c r="J35" s="242" t="e">
        <f>ROUND(Sheet2!K32,0)</f>
        <v>#DIV/0!</v>
      </c>
      <c r="K35" s="247" t="e">
        <f>('جدول محاسبات'!G21*100)/'جدول محاسبات'!G4</f>
        <v>#DIV/0!</v>
      </c>
      <c r="X35" s="28">
        <v>13</v>
      </c>
      <c r="Y35" s="7">
        <v>4800</v>
      </c>
      <c r="Z35" s="11">
        <f>IF(X35=Sheet2!H22,Y35,0)</f>
        <v>0</v>
      </c>
      <c r="AA35" s="117"/>
      <c r="AB35" s="117"/>
      <c r="AC35" s="117"/>
      <c r="AD35" s="117"/>
    </row>
    <row r="36" spans="7:43" ht="21.35" x14ac:dyDescent="1.1000000000000001">
      <c r="G36" s="418" t="s">
        <v>125</v>
      </c>
      <c r="H36" s="418"/>
      <c r="I36" s="78">
        <f>SUM('جدول محاسبات'!G4,'جدول محاسبات'!G5,'جدول محاسبات'!G6,'جدول محاسبات'!G9,'جدول محاسبات'!G14,'جدول محاسبات'!G16,'جدول محاسبات'!G17,'جدول محاسبات'!G18,'جدول محاسبات'!G23,'جدول محاسبات'!G24)</f>
        <v>0</v>
      </c>
      <c r="X36" s="44">
        <v>14</v>
      </c>
      <c r="Y36" s="45">
        <v>5000</v>
      </c>
      <c r="Z36" s="4">
        <f>IF(X36=Sheet2!H22,Y36,0)</f>
        <v>0</v>
      </c>
      <c r="AA36" s="117"/>
      <c r="AB36" s="117"/>
      <c r="AC36" s="117"/>
      <c r="AD36" s="117"/>
      <c r="AO36" s="79"/>
      <c r="AP36" s="149"/>
      <c r="AQ36" s="150"/>
    </row>
    <row r="37" spans="7:43" ht="21.7" thickBot="1" x14ac:dyDescent="1.1499999999999999">
      <c r="G37" s="418" t="s">
        <v>225</v>
      </c>
      <c r="H37" s="418"/>
      <c r="I37" s="78">
        <f>SUM('جدول محاسبات'!G7,'جدول محاسبات'!G9,'جدول محاسبات'!G14,'جدول محاسبات'!G16,'جدول محاسبات'!G17,'جدول محاسبات'!G18,'جدول محاسبات'!G23,'جدول محاسبات'!G24)</f>
        <v>0</v>
      </c>
      <c r="X37" s="28">
        <v>15</v>
      </c>
      <c r="Y37" s="7">
        <v>5200</v>
      </c>
      <c r="Z37" s="11">
        <f>IF(X37=Sheet2!H22,Y37,0)</f>
        <v>0</v>
      </c>
      <c r="AA37" s="117"/>
      <c r="AB37" s="117"/>
      <c r="AC37" s="117"/>
      <c r="AD37" s="117"/>
    </row>
    <row r="38" spans="7:43" ht="21.7" thickBot="1" x14ac:dyDescent="1.1499999999999999">
      <c r="G38" s="418" t="s">
        <v>126</v>
      </c>
      <c r="H38" s="418"/>
      <c r="I38" s="78">
        <f>ROUND('جدول محاسبات'!F23*Sheet2!H42%,0)</f>
        <v>0</v>
      </c>
      <c r="X38" s="46">
        <v>16</v>
      </c>
      <c r="Y38" s="47">
        <v>5400</v>
      </c>
      <c r="Z38" s="48">
        <f>IF(X38=Sheet2!H22,Y38,0)</f>
        <v>0</v>
      </c>
      <c r="AA38" s="117"/>
      <c r="AB38" s="117"/>
      <c r="AC38" s="117"/>
      <c r="AD38" s="117"/>
      <c r="AI38" s="151" t="s">
        <v>58</v>
      </c>
      <c r="AJ38" s="152" t="s">
        <v>59</v>
      </c>
      <c r="AL38" s="153" t="s">
        <v>15</v>
      </c>
      <c r="AN38" s="153" t="s">
        <v>68</v>
      </c>
      <c r="AP38" s="154" t="s">
        <v>69</v>
      </c>
      <c r="AQ38" s="155">
        <f>SUM('جدول محاسبات'!G7,'جدول محاسبات'!G24,'جدول محاسبات'!G23)</f>
        <v>0</v>
      </c>
    </row>
    <row r="39" spans="7:43" ht="21.35" x14ac:dyDescent="1.1000000000000001">
      <c r="G39" s="418" t="s">
        <v>127</v>
      </c>
      <c r="H39" s="418"/>
      <c r="I39" s="78">
        <f>ROUND('جدول محاسبات'!F24*Sheet2!H42%,0)</f>
        <v>0</v>
      </c>
      <c r="X39" s="25" t="s">
        <v>44</v>
      </c>
      <c r="Y39" s="9">
        <v>0</v>
      </c>
      <c r="Z39" s="10">
        <f>IF(X39=Sheet2!H23,0,0)</f>
        <v>0</v>
      </c>
      <c r="AA39" s="425" t="s">
        <v>54</v>
      </c>
      <c r="AB39" s="426"/>
      <c r="AC39" s="426"/>
      <c r="AD39" s="427"/>
      <c r="AF39" s="33">
        <v>1</v>
      </c>
      <c r="AG39" s="34">
        <f>IF(AND(AND(X39=Sheet2!H23,Sheet2!H26&gt;1,Sheet2!H28&gt;119,Sheet2!H15&gt;69,Sheet2!H16&gt;69),((Sheet2!H15+Sheet2!H16)/2)&gt;=75),1,0)</f>
        <v>0</v>
      </c>
      <c r="AI39" s="156">
        <f>IF(AG39=AF39,AD44*30%,0)</f>
        <v>0</v>
      </c>
      <c r="AJ39" s="157">
        <f>IF(AG39=AF39,AD44*20%,0)</f>
        <v>0</v>
      </c>
      <c r="AL39" s="158">
        <f>IF(AG39=AF39,'ورود اطلاعات'!C9*10%,0)</f>
        <v>0</v>
      </c>
      <c r="AN39" s="158">
        <f>IF(AG39=AF39,AA11*10%,0)</f>
        <v>0</v>
      </c>
    </row>
    <row r="40" spans="7:43" ht="21.35" x14ac:dyDescent="1.1000000000000001">
      <c r="X40" s="26" t="s">
        <v>45</v>
      </c>
      <c r="Y40" s="7">
        <v>250</v>
      </c>
      <c r="Z40" s="11">
        <f>IF(X40=Sheet2!H23,Y40,0)</f>
        <v>0</v>
      </c>
      <c r="AA40" s="26">
        <f>AA44</f>
        <v>3520</v>
      </c>
      <c r="AB40" s="7">
        <f>IF(X40=Sheet2!H23,AA41,0)</f>
        <v>0</v>
      </c>
      <c r="AC40" s="15">
        <v>0.15</v>
      </c>
      <c r="AD40" s="16">
        <f>AC40*AB40</f>
        <v>0</v>
      </c>
      <c r="AF40" s="28">
        <v>2</v>
      </c>
      <c r="AG40" s="35">
        <f>IF(X40=Sheet2!H23,AF40,0)</f>
        <v>0</v>
      </c>
      <c r="AI40" s="159">
        <f>IF(AG40=AF40,AD44*25%,0)</f>
        <v>0</v>
      </c>
      <c r="AJ40" s="160">
        <f>IF(AG40=AF40,AD44*15%,0)</f>
        <v>0</v>
      </c>
      <c r="AL40" s="161">
        <f>IF(AG40=AF40,'ورود اطلاعات'!C9*15%,0)</f>
        <v>0</v>
      </c>
      <c r="AN40" s="158">
        <f>IF(AG40=AF40,AA11*15%,0)</f>
        <v>0</v>
      </c>
    </row>
    <row r="41" spans="7:43" ht="23.7" thickBot="1" x14ac:dyDescent="1.1499999999999999">
      <c r="G41" s="413" t="s">
        <v>139</v>
      </c>
      <c r="H41" s="412"/>
      <c r="M41" s="293" t="s">
        <v>248</v>
      </c>
      <c r="N41" s="294"/>
      <c r="X41" s="26" t="s">
        <v>46</v>
      </c>
      <c r="Y41" s="7">
        <v>600</v>
      </c>
      <c r="Z41" s="11">
        <f>IF(X41=Sheet2!H23,Y41,0)</f>
        <v>0</v>
      </c>
      <c r="AA41" s="26">
        <f>AA44</f>
        <v>3520</v>
      </c>
      <c r="AB41" s="7">
        <f>IF(X41=Sheet2!H23,AA41,0)</f>
        <v>0</v>
      </c>
      <c r="AC41" s="15">
        <v>0.25</v>
      </c>
      <c r="AD41" s="16">
        <f>AC41*AB41</f>
        <v>0</v>
      </c>
      <c r="AF41" s="28">
        <v>3</v>
      </c>
      <c r="AG41" s="35">
        <f>IF(X41=Sheet2!H23,AF41,0)</f>
        <v>0</v>
      </c>
      <c r="AI41" s="159">
        <f>IF(AG41=AF41,AD44*17%,0)</f>
        <v>0</v>
      </c>
      <c r="AJ41" s="160">
        <f>IF(AG41=AF41,AD44*10%,0)</f>
        <v>0</v>
      </c>
      <c r="AL41" s="161">
        <f>IF(AG41=AF41,'ورود اطلاعات'!C9*25%,0)</f>
        <v>0</v>
      </c>
      <c r="AN41" s="158">
        <f>IF(AG41=AF41,AA11*25%,0)</f>
        <v>0</v>
      </c>
    </row>
    <row r="42" spans="7:43" ht="23.7" thickBot="1" x14ac:dyDescent="1.1499999999999999">
      <c r="G42" s="81" t="s">
        <v>138</v>
      </c>
      <c r="H42" s="162">
        <v>0</v>
      </c>
      <c r="M42" s="208" t="s">
        <v>0</v>
      </c>
      <c r="N42" s="209" t="s">
        <v>1</v>
      </c>
      <c r="X42" s="26" t="s">
        <v>47</v>
      </c>
      <c r="Y42" s="7">
        <v>1050</v>
      </c>
      <c r="Z42" s="11">
        <f>IF(X42=Sheet2!H23,Y42,0)</f>
        <v>0</v>
      </c>
      <c r="AA42" s="26">
        <f>AA44</f>
        <v>3520</v>
      </c>
      <c r="AB42" s="7">
        <f>IF(X42=Sheet2!H23,AA42,0)</f>
        <v>0</v>
      </c>
      <c r="AC42" s="15">
        <v>0.35</v>
      </c>
      <c r="AD42" s="16">
        <f>AC42*AB42</f>
        <v>0</v>
      </c>
      <c r="AF42" s="28">
        <v>4</v>
      </c>
      <c r="AG42" s="35">
        <f>IF(X42=Sheet2!H23,AF42,0)</f>
        <v>0</v>
      </c>
      <c r="AI42" s="159">
        <f>IF(AG42=AF42,AD44*8%,0)</f>
        <v>0</v>
      </c>
      <c r="AJ42" s="160">
        <f>IF(AG42=AF42,AD44*5%,0)</f>
        <v>0</v>
      </c>
      <c r="AL42" s="161">
        <f>IF(AG42=AF42,'ورود اطلاعات'!C9*35%,0)</f>
        <v>0</v>
      </c>
      <c r="AN42" s="158">
        <f>IF(AG42=AF42,AA11*35%,0)</f>
        <v>0</v>
      </c>
      <c r="AP42" s="154" t="s">
        <v>72</v>
      </c>
      <c r="AQ42" s="155">
        <f>SUM(Sheet2!H58,Sheet2!H73,Sheet2!H74)</f>
        <v>0</v>
      </c>
    </row>
    <row r="43" spans="7:43" ht="23.7" thickBot="1" x14ac:dyDescent="1.1499999999999999">
      <c r="M43" s="225">
        <f>'جدول محاسبات'!F4</f>
        <v>0</v>
      </c>
      <c r="N43" s="226">
        <f>M43*Sheet2!H51</f>
        <v>0</v>
      </c>
      <c r="X43" s="12" t="s">
        <v>48</v>
      </c>
      <c r="Y43" s="13">
        <v>1600</v>
      </c>
      <c r="Z43" s="14">
        <f>IF(X43=Sheet2!H23,Y43,0)</f>
        <v>0</v>
      </c>
      <c r="AA43" s="26">
        <f>AA44</f>
        <v>3520</v>
      </c>
      <c r="AB43" s="8">
        <f>IF(X43=Sheet2!H23,AA43,0)</f>
        <v>0</v>
      </c>
      <c r="AC43" s="17">
        <v>0.5</v>
      </c>
      <c r="AD43" s="18">
        <f>AC43*AB43</f>
        <v>0</v>
      </c>
      <c r="AF43" s="36">
        <v>5</v>
      </c>
      <c r="AG43" s="37">
        <f>IF(X43=Sheet2!H23,AF43,0)</f>
        <v>0</v>
      </c>
      <c r="AI43" s="163">
        <f>SUM(AI39:AI42)</f>
        <v>0</v>
      </c>
      <c r="AJ43" s="164">
        <f>SUM(AJ39:AJ42)</f>
        <v>0</v>
      </c>
      <c r="AL43" s="161">
        <f>IF(AG43=AF43,'ورود اطلاعات'!C9*50%,0)</f>
        <v>0</v>
      </c>
      <c r="AN43" s="158">
        <f>IF(AG43=AF43,AA11*50%,0)</f>
        <v>0</v>
      </c>
    </row>
    <row r="44" spans="7:43" ht="23.7" thickBot="1" x14ac:dyDescent="1.35">
      <c r="G44" s="412" t="s">
        <v>123</v>
      </c>
      <c r="H44" s="412"/>
      <c r="M44" s="227">
        <f>'جدول محاسبات'!F5</f>
        <v>0</v>
      </c>
      <c r="N44" s="228">
        <f>M44*Sheet2!H51</f>
        <v>0</v>
      </c>
      <c r="X44" s="423" t="s">
        <v>53</v>
      </c>
      <c r="Y44" s="424"/>
      <c r="Z44" s="27">
        <f>SUM(Z23:Z43)</f>
        <v>3200</v>
      </c>
      <c r="AA44" s="165">
        <f>Z44+(Z44*10%)</f>
        <v>3520</v>
      </c>
      <c r="AB44" s="428" t="s">
        <v>55</v>
      </c>
      <c r="AC44" s="429"/>
      <c r="AD44" s="19">
        <f>SUM(AD40:AD43,AA44)</f>
        <v>3520</v>
      </c>
      <c r="AF44" s="38" t="s">
        <v>43</v>
      </c>
      <c r="AG44" s="39">
        <f>SUM(AG39:AG43)</f>
        <v>0</v>
      </c>
      <c r="AI44" s="40" t="s">
        <v>67</v>
      </c>
      <c r="AJ44" s="166">
        <f>IF(Sheet2!H25=Sheet2!Q2,AI43,AJ43)</f>
        <v>0</v>
      </c>
      <c r="AL44" s="167">
        <f>SUM(AL39:AL43)</f>
        <v>0</v>
      </c>
      <c r="AN44" s="167">
        <f>IF(AG44&gt;0,SUM(AN39:AN43)+(AC13*50%),0)</f>
        <v>0</v>
      </c>
      <c r="AP44" s="154" t="s">
        <v>73</v>
      </c>
      <c r="AQ44" s="155">
        <f>SUM(Sheet2!N46,Sheet2!N62,Sheet2!N63)</f>
        <v>0</v>
      </c>
    </row>
    <row r="45" spans="7:43" ht="23.7" thickBot="1" x14ac:dyDescent="0.55000000000000004">
      <c r="G45" s="81" t="s">
        <v>122</v>
      </c>
      <c r="H45" s="88" t="s">
        <v>13</v>
      </c>
      <c r="M45" s="229">
        <f>IF('ورود اطلاعات (2)'!K12&gt;Sheet2!M43*0.75,M43*0.75,'ورود اطلاعات (2)'!K12)</f>
        <v>0</v>
      </c>
      <c r="N45" s="231">
        <f>M45*Sheet2!H51</f>
        <v>0</v>
      </c>
    </row>
    <row r="46" spans="7:43" ht="23.35" x14ac:dyDescent="0.5">
      <c r="M46" s="232">
        <f>SUM(M43:M45)</f>
        <v>0</v>
      </c>
      <c r="N46" s="233">
        <f>SUM(N43:N45)</f>
        <v>0</v>
      </c>
    </row>
    <row r="47" spans="7:43" ht="23.35" x14ac:dyDescent="0.5">
      <c r="M47" s="223"/>
      <c r="N47" s="224">
        <f>'جدول محاسبات'!G8</f>
        <v>0</v>
      </c>
    </row>
    <row r="48" spans="7:43" ht="23.35" x14ac:dyDescent="0.5">
      <c r="M48" s="227">
        <f>'جدول محاسبات'!F9</f>
        <v>0</v>
      </c>
      <c r="N48" s="228">
        <f>M48*Sheet2!H51</f>
        <v>0</v>
      </c>
    </row>
    <row r="49" spans="7:16" ht="23.35" x14ac:dyDescent="0.5">
      <c r="M49" s="234"/>
      <c r="N49" s="235">
        <f>IF('ورود اطلاعات'!C21=0,0,SUM(N43,N44,N45,N48,N53,N55,N56,N57,N62,N63)*Sheet2!K31%)</f>
        <v>0</v>
      </c>
    </row>
    <row r="50" spans="7:16" ht="23.35" x14ac:dyDescent="0.5">
      <c r="G50" s="205" t="s">
        <v>202</v>
      </c>
      <c r="H50" s="206">
        <v>3048</v>
      </c>
      <c r="M50" s="227"/>
      <c r="N50" s="228">
        <f>IF('ورود اطلاعات'!C22=0,0,SUM(N46,N48,N53,N55,N56,N57,N62,N63)*Sheet2!K32%)</f>
        <v>0</v>
      </c>
    </row>
    <row r="51" spans="7:16" ht="23.35" x14ac:dyDescent="0.5">
      <c r="G51" s="205" t="s">
        <v>254</v>
      </c>
      <c r="H51" s="206">
        <v>3353</v>
      </c>
      <c r="M51" s="236"/>
      <c r="N51" s="237">
        <f>IF('ورود اطلاعات'!C23=0,0,Sheet2!AQ44*Sheet2!K33%)</f>
        <v>0</v>
      </c>
    </row>
    <row r="52" spans="7:16" ht="23.7" thickBot="1" x14ac:dyDescent="0.55000000000000004">
      <c r="M52" s="227"/>
      <c r="N52" s="228">
        <f>IF(N46=0,0,N46*Sheet2!K34%)</f>
        <v>0</v>
      </c>
    </row>
    <row r="53" spans="7:16" ht="23.35" x14ac:dyDescent="0.5">
      <c r="G53" s="419" t="s">
        <v>168</v>
      </c>
      <c r="H53" s="420"/>
      <c r="M53" s="236">
        <f>'جدول محاسبات'!F14</f>
        <v>0</v>
      </c>
      <c r="N53" s="237">
        <f>M53*Sheet2!H51</f>
        <v>0</v>
      </c>
    </row>
    <row r="54" spans="7:16" ht="23.7" thickBot="1" x14ac:dyDescent="0.55000000000000004">
      <c r="G54" s="82" t="s">
        <v>0</v>
      </c>
      <c r="H54" s="83" t="s">
        <v>1</v>
      </c>
      <c r="M54" s="227"/>
      <c r="N54" s="228">
        <f>IF('ورود اطلاعات'!F5="بلی",P54*25%,0)</f>
        <v>0</v>
      </c>
      <c r="O54" s="117">
        <v>22468000</v>
      </c>
      <c r="P54" s="117">
        <v>24715000</v>
      </c>
    </row>
    <row r="55" spans="7:16" ht="23.35" x14ac:dyDescent="0.5">
      <c r="G55" s="72">
        <f>'جدول محاسبات'!F4</f>
        <v>0</v>
      </c>
      <c r="H55" s="73">
        <f>G55*Sheet2!H51</f>
        <v>0</v>
      </c>
      <c r="M55" s="236">
        <f>'جدول محاسبات'!F16</f>
        <v>0</v>
      </c>
      <c r="N55" s="237">
        <f>M55*Sheet2!H51</f>
        <v>0</v>
      </c>
    </row>
    <row r="56" spans="7:16" ht="23.35" x14ac:dyDescent="0.5">
      <c r="G56" s="58">
        <f>'جدول محاسبات'!F5</f>
        <v>0</v>
      </c>
      <c r="H56" s="59">
        <f>G56*Sheet2!H51</f>
        <v>0</v>
      </c>
      <c r="M56" s="227">
        <f>'جدول محاسبات'!F17</f>
        <v>0</v>
      </c>
      <c r="N56" s="228">
        <f>M56*Sheet2!H51</f>
        <v>0</v>
      </c>
    </row>
    <row r="57" spans="7:16" ht="23.35" x14ac:dyDescent="0.5">
      <c r="G57" s="75">
        <f>'ورود اطلاعات (2)'!K12</f>
        <v>0</v>
      </c>
      <c r="H57" s="59">
        <f>G57*Sheet2!H51</f>
        <v>0</v>
      </c>
      <c r="M57" s="236">
        <f>'جدول محاسبات'!F18</f>
        <v>0</v>
      </c>
      <c r="N57" s="237">
        <f>M57*Sheet2!H51</f>
        <v>0</v>
      </c>
    </row>
    <row r="58" spans="7:16" ht="23.35" x14ac:dyDescent="0.5">
      <c r="G58" s="85">
        <f>SUM(G55:G57)</f>
        <v>0</v>
      </c>
      <c r="H58" s="84">
        <f>SUM(H55:H57)</f>
        <v>0</v>
      </c>
      <c r="L58" s="117">
        <v>2430</v>
      </c>
      <c r="M58" s="264">
        <f>'جدول محاسبات'!F19</f>
        <v>0</v>
      </c>
      <c r="N58" s="228">
        <f>M58*3048</f>
        <v>0</v>
      </c>
    </row>
    <row r="59" spans="7:16" ht="23.35" x14ac:dyDescent="0.5">
      <c r="G59" s="75"/>
      <c r="H59" s="74">
        <f>'جدول محاسبات'!G8</f>
        <v>0</v>
      </c>
      <c r="K59" s="117">
        <f>'ورود اطلاعات'!F14*Sheet2!L59</f>
        <v>0</v>
      </c>
      <c r="L59" s="117">
        <v>945</v>
      </c>
      <c r="M59" s="236">
        <f>'جدول محاسبات'!F20</f>
        <v>0</v>
      </c>
      <c r="N59" s="237">
        <f>M59*3048</f>
        <v>0</v>
      </c>
    </row>
    <row r="60" spans="7:16" ht="23.35" x14ac:dyDescent="0.5">
      <c r="G60" s="75">
        <f>'جدول محاسبات'!F9</f>
        <v>0</v>
      </c>
      <c r="H60" s="74">
        <f>G60*Sheet2!H51</f>
        <v>0</v>
      </c>
      <c r="M60" s="227"/>
      <c r="N60" s="228">
        <f>IF(N43=0,0,N43*Sheet2!K35%)</f>
        <v>0</v>
      </c>
    </row>
    <row r="61" spans="7:16" ht="23.35" x14ac:dyDescent="0.5">
      <c r="G61" s="75"/>
      <c r="H61" s="74">
        <f>IF('ورود اطلاعات'!C21=0,0,SUM(H55,H56,H57,H60,H64,H66,H67,H68,H73,H74)*Sheet2!K31%)</f>
        <v>0</v>
      </c>
      <c r="M61" s="236"/>
      <c r="N61" s="237">
        <f>'جدول محاسبات'!G22</f>
        <v>0</v>
      </c>
    </row>
    <row r="62" spans="7:16" ht="23.35" x14ac:dyDescent="0.5">
      <c r="G62" s="75"/>
      <c r="H62" s="74">
        <f>IF('ورود اطلاعات'!C23=0,0,Sheet2!AQ42*Sheet2!K33%)</f>
        <v>0</v>
      </c>
      <c r="M62" s="227">
        <f>'جدول محاسبات'!F23</f>
        <v>0</v>
      </c>
      <c r="N62" s="228">
        <f>M62*Sheet2!H51</f>
        <v>0</v>
      </c>
    </row>
    <row r="63" spans="7:16" ht="23.35" x14ac:dyDescent="0.5">
      <c r="G63" s="75"/>
      <c r="H63" s="74">
        <f>IF('ورود اطلاعات'!C24=0,0,Sheet2!AQ42*Sheet2!K34%)</f>
        <v>0</v>
      </c>
      <c r="M63" s="236">
        <f>'جدول محاسبات'!F24</f>
        <v>0</v>
      </c>
      <c r="N63" s="237">
        <f>M63*Sheet2!H51</f>
        <v>0</v>
      </c>
    </row>
    <row r="64" spans="7:16" ht="23.35" x14ac:dyDescent="0.5">
      <c r="G64" s="75">
        <f>'جدول محاسبات'!F14</f>
        <v>0</v>
      </c>
      <c r="H64" s="74">
        <f>G64*Sheet2!H51</f>
        <v>0</v>
      </c>
      <c r="M64" s="227"/>
      <c r="N64" s="228">
        <v>0</v>
      </c>
    </row>
    <row r="65" spans="7:14" ht="23.35" x14ac:dyDescent="0.5">
      <c r="G65" s="75"/>
      <c r="H65" s="74">
        <f>IF('ورود اطلاعات'!F5="بلی",'ورود اطلاعات (2)'!K48/4,0)</f>
        <v>0</v>
      </c>
      <c r="M65" s="236"/>
      <c r="N65" s="237">
        <f>IF(Sheet2!H2&lt;56000000,56000000-Sheet2!H2,0)</f>
        <v>56000000</v>
      </c>
    </row>
    <row r="66" spans="7:14" ht="23.35" x14ac:dyDescent="0.5">
      <c r="G66" s="75">
        <f>'جدول محاسبات'!F16</f>
        <v>0</v>
      </c>
      <c r="H66" s="74">
        <f>G66*Sheet2!H51</f>
        <v>0</v>
      </c>
      <c r="M66" s="227"/>
      <c r="N66" s="222">
        <v>0</v>
      </c>
    </row>
    <row r="67" spans="7:14" ht="23.35" x14ac:dyDescent="0.5">
      <c r="G67" s="75">
        <f>'جدول محاسبات'!F17</f>
        <v>0</v>
      </c>
      <c r="H67" s="74">
        <f>G67*Sheet2!H51</f>
        <v>0</v>
      </c>
      <c r="M67" s="238">
        <f>SUM(M46:M66)</f>
        <v>0</v>
      </c>
      <c r="N67" s="239">
        <f>SUM(N46:N66)</f>
        <v>56000000</v>
      </c>
    </row>
    <row r="68" spans="7:14" ht="19.7" x14ac:dyDescent="0.5">
      <c r="G68" s="75">
        <f>'جدول محاسبات'!F18</f>
        <v>0</v>
      </c>
      <c r="H68" s="74">
        <f>G68*Sheet2!H51</f>
        <v>0</v>
      </c>
    </row>
    <row r="69" spans="7:14" ht="19.7" x14ac:dyDescent="0.5">
      <c r="G69" s="75">
        <f>'جدول محاسبات'!F19</f>
        <v>0</v>
      </c>
      <c r="H69" s="74">
        <f>G69*2438</f>
        <v>0</v>
      </c>
    </row>
    <row r="70" spans="7:14" ht="19.7" x14ac:dyDescent="0.5">
      <c r="G70" s="75">
        <f>'جدول محاسبات'!F20</f>
        <v>0</v>
      </c>
      <c r="H70" s="74">
        <f>G70*2438</f>
        <v>0</v>
      </c>
    </row>
    <row r="71" spans="7:14" ht="19.7" x14ac:dyDescent="0.5">
      <c r="G71" s="75"/>
      <c r="H71" s="74">
        <f>IF('ورود اطلاعات'!C25=0,0,H55*Sheet2!K35%)</f>
        <v>0</v>
      </c>
    </row>
    <row r="72" spans="7:14" ht="19.7" x14ac:dyDescent="0.5">
      <c r="G72" s="75"/>
      <c r="H72" s="74">
        <f>'ورود اطلاعات'!C26</f>
        <v>0</v>
      </c>
    </row>
    <row r="73" spans="7:14" ht="19.7" x14ac:dyDescent="0.5">
      <c r="G73" s="75">
        <f>'جدول محاسبات'!F23</f>
        <v>0</v>
      </c>
      <c r="H73" s="74">
        <f>G73*Sheet2!H51</f>
        <v>0</v>
      </c>
    </row>
    <row r="74" spans="7:14" ht="19.7" x14ac:dyDescent="0.5">
      <c r="G74" s="77">
        <f>'جدول محاسبات'!F24</f>
        <v>0</v>
      </c>
      <c r="H74" s="76">
        <f>G74*Sheet2!H51</f>
        <v>0</v>
      </c>
    </row>
    <row r="75" spans="7:14" ht="20" thickBot="1" x14ac:dyDescent="0.55000000000000004">
      <c r="G75" s="77"/>
      <c r="H75" s="74">
        <f>IF(SUM(H58,'جدول محاسبات'!G8,H60:H74)&lt;35000000,(35000000-SUM(H58,'جدول محاسبات'!G8,H60:H74)),0)</f>
        <v>35000000</v>
      </c>
    </row>
    <row r="76" spans="7:14" ht="20" thickBot="1" x14ac:dyDescent="0.55000000000000004">
      <c r="G76" s="87">
        <f>SUM(G58:G74)</f>
        <v>0</v>
      </c>
      <c r="H76" s="86">
        <f>SUM(H58:H75)</f>
        <v>35000000</v>
      </c>
    </row>
    <row r="77" spans="7:14" ht="18.350000000000001" thickBot="1" x14ac:dyDescent="0.55000000000000004">
      <c r="G77" s="121"/>
      <c r="H77" s="121"/>
    </row>
    <row r="78" spans="7:14" ht="20" thickBot="1" x14ac:dyDescent="0.55000000000000004">
      <c r="G78" s="115"/>
      <c r="H78" s="115"/>
    </row>
    <row r="79" spans="7:14" ht="19.350000000000001" x14ac:dyDescent="0.5">
      <c r="G79" s="114"/>
      <c r="H79" s="114"/>
    </row>
    <row r="80" spans="7:14" ht="19.350000000000001" x14ac:dyDescent="0.5">
      <c r="G80" s="112"/>
      <c r="H80" s="112"/>
    </row>
    <row r="81" spans="7:8" ht="19.350000000000001" x14ac:dyDescent="0.5">
      <c r="G81" s="112"/>
      <c r="H81" s="112"/>
    </row>
    <row r="82" spans="7:8" ht="19.350000000000001" x14ac:dyDescent="0.5">
      <c r="G82" s="112"/>
      <c r="H82" s="112"/>
    </row>
    <row r="83" spans="7:8" ht="19.350000000000001" x14ac:dyDescent="0.5">
      <c r="G83" s="112"/>
      <c r="H83" s="112"/>
    </row>
    <row r="84" spans="7:8" ht="19.7" thickBot="1" x14ac:dyDescent="0.55000000000000004">
      <c r="G84" s="113"/>
      <c r="H84" s="113"/>
    </row>
    <row r="89" spans="7:8" ht="18" x14ac:dyDescent="0.5">
      <c r="G89" s="220" t="s">
        <v>238</v>
      </c>
    </row>
    <row r="90" spans="7:8" x14ac:dyDescent="0.5">
      <c r="G90" s="221" t="s">
        <v>239</v>
      </c>
    </row>
    <row r="91" spans="7:8" ht="195" x14ac:dyDescent="0.5">
      <c r="G91" s="221" t="s">
        <v>240</v>
      </c>
    </row>
    <row r="92" spans="7:8" ht="143" x14ac:dyDescent="0.5">
      <c r="G92" s="221" t="s">
        <v>241</v>
      </c>
    </row>
    <row r="93" spans="7:8" ht="130" x14ac:dyDescent="0.5">
      <c r="G93" s="221" t="s">
        <v>242</v>
      </c>
    </row>
  </sheetData>
  <mergeCells count="25">
    <mergeCell ref="G53:H53"/>
    <mergeCell ref="Y11:Z11"/>
    <mergeCell ref="X44:Y44"/>
    <mergeCell ref="AA39:AD39"/>
    <mergeCell ref="AB44:AC44"/>
    <mergeCell ref="Y12:AB12"/>
    <mergeCell ref="Y13:AB13"/>
    <mergeCell ref="G32:H32"/>
    <mergeCell ref="G33:H33"/>
    <mergeCell ref="G35:H35"/>
    <mergeCell ref="G37:H37"/>
    <mergeCell ref="L21:M21"/>
    <mergeCell ref="L24:M24"/>
    <mergeCell ref="M41:N41"/>
    <mergeCell ref="G9:H9"/>
    <mergeCell ref="G41:H41"/>
    <mergeCell ref="G44:H44"/>
    <mergeCell ref="G14:H14"/>
    <mergeCell ref="G18:H19"/>
    <mergeCell ref="G21:H21"/>
    <mergeCell ref="G36:H36"/>
    <mergeCell ref="G38:H38"/>
    <mergeCell ref="G39:H39"/>
    <mergeCell ref="G34:H34"/>
    <mergeCell ref="G31:H31"/>
  </mergeCells>
  <dataValidations count="11">
    <dataValidation type="whole" allowBlank="1" showInputMessage="1" showErrorMessage="1" errorTitle="توجه" error="از صفر (۰) تا صد (100)  عددی وارد نمایید" sqref="H15:H16" xr:uid="{00000000-0002-0000-0500-000000000000}">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xr:uid="{00000000-0002-0000-0500-000001000000}">
      <formula1>$X$39:$X$43</formula1>
    </dataValidation>
    <dataValidation type="list" allowBlank="1" showInputMessage="1" showErrorMessage="1" errorTitle="توجه" error="عددی بین 4 تا 16 مطابق با آخرین حکم کارگزینی وارد نمایید" sqref="H22" xr:uid="{00000000-0002-0000-0500-000002000000}">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xr:uid="{00000000-0002-0000-0500-000003000000}">
      <formula1>$Y$5:$Y$10</formula1>
    </dataValidation>
    <dataValidation type="list" allowBlank="1" showInputMessage="1" showErrorMessage="1" errorTitle="توجه" error="از صفر (0) تا یازده (11) عددی وارد نمایید" sqref="H27" xr:uid="{00000000-0002-0000-0500-000004000000}">
      <formula1>$U$1:$U$12</formula1>
    </dataValidation>
    <dataValidation type="list" allowBlank="1" showInputMessage="1" showErrorMessage="1" errorTitle="توجه" error="از صفر (0) تا سی (30) عددی وارد نمایید" sqref="H26" xr:uid="{00000000-0002-0000-0500-000005000000}">
      <formula1>$U$1:$U$31</formula1>
    </dataValidation>
    <dataValidation type="list" allowBlank="1" showInputMessage="1" showErrorMessage="1" errorTitle="توجه" error="یکی از گزینه های زیر را تایپ (انتخاب) نمایید_x000a__x000a_ابتدایی_x000a_متوسطه_x000a_" sqref="H25" xr:uid="{00000000-0002-0000-0500-000006000000}">
      <formula1>$Q$2:$Q$3</formula1>
    </dataValidation>
    <dataValidation type="whole" allowBlank="1" showInputMessage="1" showErrorMessage="1" errorTitle="توجه" error="از صفر (۰) تا هزار (1000)  عددی وارد نمایید" sqref="H28" xr:uid="{00000000-0002-0000-0500-000007000000}">
      <formula1>0</formula1>
      <formula2>1000</formula2>
    </dataValidation>
    <dataValidation type="whole" allowBlank="1" showInputMessage="1" showErrorMessage="1" errorTitle="اخطار" error="عددی از یک تا پنجاه وارد نمایید" sqref="H42" xr:uid="{00000000-0002-0000-0500-000008000000}">
      <formula1>0</formula1>
      <formula2>50</formula2>
    </dataValidation>
    <dataValidation type="list" allowBlank="1" showInputMessage="1" showErrorMessage="1" errorTitle="توجه" error="یکی از گزینه های زیر را وارد نمایید_x000a__x000a_خیر_x000a_بلی_x000a__x000a_" sqref="H45" xr:uid="{00000000-0002-0000-0500-000009000000}">
      <formula1>$S$2:$S$3</formula1>
    </dataValidation>
    <dataValidation type="list" allowBlank="1" showInputMessage="1" showErrorMessage="1" errorTitle="توجه" error="یکی از گزینه های زیر را وارد نمایید_x000a__x000a_خیر_x000a_بلی_x000a__x000a__x000a_" sqref="M25" xr:uid="{00000000-0002-0000-0000-000011000000}">
      <formula1>$S$2:$S$3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6000000}">
          <x14:formula1>
            <xm:f>'ورود اطلاعات (2)'!$Y$7:$Y$9</xm:f>
          </x14:formula1>
          <xm:sqref>M22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D53"/>
  <sheetViews>
    <sheetView rightToLeft="1" topLeftCell="I1" zoomScaleSheetLayoutView="100" workbookViewId="0">
      <selection activeCell="M14" sqref="M14"/>
    </sheetView>
  </sheetViews>
  <sheetFormatPr defaultColWidth="9.1171875" defaultRowHeight="17" x14ac:dyDescent="0.5"/>
  <cols>
    <col min="1" max="1" width="3.3515625" style="92" customWidth="1"/>
    <col min="2" max="2" width="11.64453125" style="92" customWidth="1"/>
    <col min="3" max="3" width="19.76171875" style="92" customWidth="1"/>
    <col min="4" max="4" width="15.76171875" style="92" customWidth="1"/>
    <col min="5" max="5" width="3" style="92" customWidth="1"/>
    <col min="6" max="6" width="30.76171875" style="92" customWidth="1"/>
    <col min="7" max="7" width="15.76171875" style="92" customWidth="1"/>
    <col min="8" max="8" width="4.3515625" style="92" customWidth="1"/>
    <col min="9" max="9" width="9.1171875" style="92"/>
    <col min="10" max="10" width="29.1171875" style="92" customWidth="1"/>
    <col min="11" max="11" width="15.1171875" style="92" customWidth="1"/>
    <col min="12" max="12" width="9.1171875" style="92"/>
    <col min="13" max="13" width="11.76171875" style="92" customWidth="1"/>
    <col min="14" max="15" width="9.1171875" style="92"/>
    <col min="16" max="16" width="14.76171875" style="92" bestFit="1" customWidth="1"/>
    <col min="17" max="18" width="9.1171875" style="92"/>
    <col min="19" max="23" width="9.1171875" style="93"/>
    <col min="24" max="26" width="9.1171875" style="92"/>
    <col min="27" max="27" width="16.1171875" style="92" customWidth="1"/>
    <col min="28" max="28" width="16.3515625" style="92" customWidth="1"/>
    <col min="29" max="16384" width="9.1171875" style="92"/>
  </cols>
  <sheetData>
    <row r="1" spans="1:30" ht="27.35" x14ac:dyDescent="1.6">
      <c r="A1" s="90"/>
      <c r="B1" s="437" t="s">
        <v>141</v>
      </c>
      <c r="C1" s="437"/>
      <c r="D1" s="437"/>
      <c r="E1" s="437"/>
      <c r="F1" s="437"/>
      <c r="G1" s="437"/>
      <c r="H1" s="90"/>
      <c r="I1" s="91"/>
      <c r="Y1" s="92" t="s">
        <v>142</v>
      </c>
      <c r="Z1" s="92">
        <f>IF(Y1='ورود اطلاعات'!F10,0,0)</f>
        <v>0</v>
      </c>
      <c r="AA1" s="94" t="s">
        <v>36</v>
      </c>
      <c r="AB1" s="92">
        <v>18</v>
      </c>
      <c r="AC1" s="92">
        <f>IF(AA1='ورود اطلاعات'!F8,AB1,0)</f>
        <v>0</v>
      </c>
    </row>
    <row r="2" spans="1:30" ht="21" x14ac:dyDescent="0.5">
      <c r="A2" s="90"/>
      <c r="B2" s="438" t="s">
        <v>143</v>
      </c>
      <c r="C2" s="438"/>
      <c r="D2" s="438"/>
      <c r="E2" s="438"/>
      <c r="F2" s="438"/>
      <c r="G2" s="438"/>
      <c r="H2" s="90"/>
      <c r="I2" s="91"/>
      <c r="S2" s="92" t="s">
        <v>144</v>
      </c>
      <c r="T2" s="92" t="s">
        <v>145</v>
      </c>
      <c r="U2" s="92" t="s">
        <v>128</v>
      </c>
      <c r="V2" s="92" t="s">
        <v>146</v>
      </c>
      <c r="W2" s="92" t="s">
        <v>12</v>
      </c>
      <c r="Y2" s="92" t="s">
        <v>147</v>
      </c>
      <c r="Z2" s="92">
        <f>IF(Y2='ورود اطلاعات'!F10,52.5,0)</f>
        <v>0</v>
      </c>
      <c r="AA2" s="94" t="s">
        <v>33</v>
      </c>
      <c r="AB2" s="92">
        <v>25</v>
      </c>
      <c r="AC2" s="92">
        <f>IF(AA2='ورود اطلاعات'!F8,AB2,0)</f>
        <v>0</v>
      </c>
    </row>
    <row r="3" spans="1:30" ht="19.7" thickBot="1" x14ac:dyDescent="0.55000000000000004">
      <c r="A3" s="90"/>
      <c r="B3" s="439" t="s">
        <v>148</v>
      </c>
      <c r="C3" s="439"/>
      <c r="D3" s="439"/>
      <c r="E3" s="439"/>
      <c r="F3" s="439"/>
      <c r="G3" s="439"/>
      <c r="H3" s="90"/>
      <c r="I3" s="91"/>
      <c r="S3" s="95">
        <v>0</v>
      </c>
      <c r="T3" s="95">
        <v>0</v>
      </c>
      <c r="U3" s="95">
        <v>0</v>
      </c>
      <c r="V3" s="95">
        <v>0</v>
      </c>
      <c r="W3" s="92" t="s">
        <v>13</v>
      </c>
      <c r="Y3" s="92" t="s">
        <v>149</v>
      </c>
      <c r="Z3" s="92">
        <f>IF(Y3='ورود اطلاعات'!F10,105,0)</f>
        <v>0</v>
      </c>
      <c r="AA3" s="94" t="s">
        <v>34</v>
      </c>
      <c r="AB3" s="92">
        <v>32</v>
      </c>
      <c r="AC3" s="92">
        <f>IF(AA3='ورود اطلاعات'!F8,AB3,0)</f>
        <v>0</v>
      </c>
    </row>
    <row r="4" spans="1:30" ht="24" customHeight="1" thickBot="1" x14ac:dyDescent="0.55000000000000004">
      <c r="A4" s="90"/>
      <c r="B4" s="440" t="s">
        <v>14</v>
      </c>
      <c r="C4" s="441"/>
      <c r="D4" s="96" t="s">
        <v>0</v>
      </c>
      <c r="E4" s="123"/>
      <c r="F4" s="124" t="s">
        <v>150</v>
      </c>
      <c r="G4" s="97">
        <v>2120</v>
      </c>
      <c r="H4" s="90"/>
      <c r="S4" s="95">
        <v>5</v>
      </c>
      <c r="T4" s="95">
        <v>5</v>
      </c>
      <c r="U4" s="95">
        <v>1</v>
      </c>
      <c r="V4" s="95">
        <v>1</v>
      </c>
      <c r="Y4" s="92" t="s">
        <v>6</v>
      </c>
      <c r="Z4" s="92">
        <f>SUM(Z1:Z3)</f>
        <v>0</v>
      </c>
      <c r="AA4" s="94" t="s">
        <v>35</v>
      </c>
      <c r="AB4" s="92">
        <v>39</v>
      </c>
      <c r="AC4" s="92">
        <f>IF(AA4='ورود اطلاعات'!F8,AB4,0)</f>
        <v>39</v>
      </c>
    </row>
    <row r="5" spans="1:30" ht="24" customHeight="1" thickBot="1" x14ac:dyDescent="0.55000000000000004">
      <c r="A5" s="90"/>
      <c r="B5" s="442" t="s">
        <v>22</v>
      </c>
      <c r="C5" s="125" t="s">
        <v>3</v>
      </c>
      <c r="D5" s="168">
        <v>4000</v>
      </c>
      <c r="E5" s="123"/>
      <c r="F5" s="126" t="s">
        <v>151</v>
      </c>
      <c r="G5" s="169" t="s">
        <v>13</v>
      </c>
      <c r="H5" s="90"/>
      <c r="S5" s="95">
        <v>6</v>
      </c>
      <c r="T5" s="95">
        <v>6</v>
      </c>
      <c r="U5" s="95">
        <v>2</v>
      </c>
      <c r="V5" s="95">
        <v>2</v>
      </c>
      <c r="AA5" s="94" t="s">
        <v>152</v>
      </c>
      <c r="AB5" s="92">
        <v>46</v>
      </c>
      <c r="AC5" s="92">
        <f>IF(AA5='ورود اطلاعات'!F8,AB5,0)</f>
        <v>0</v>
      </c>
    </row>
    <row r="6" spans="1:30" ht="24" customHeight="1" thickBot="1" x14ac:dyDescent="0.55000000000000004">
      <c r="A6" s="90"/>
      <c r="B6" s="443"/>
      <c r="C6" s="129" t="s">
        <v>4</v>
      </c>
      <c r="D6" s="170">
        <v>0</v>
      </c>
      <c r="E6" s="123"/>
      <c r="F6" s="98"/>
      <c r="G6" s="98"/>
      <c r="H6" s="90"/>
      <c r="J6" s="197" t="s">
        <v>170</v>
      </c>
      <c r="K6" s="201" t="s">
        <v>13</v>
      </c>
      <c r="P6" s="111" t="s">
        <v>153</v>
      </c>
      <c r="Q6" s="111">
        <f>'جدول محاسبات'!F4*75%</f>
        <v>0</v>
      </c>
      <c r="R6" s="111">
        <f>IF(Q8&gt;Q6,Q6,Q8)</f>
        <v>0</v>
      </c>
      <c r="S6" s="95">
        <v>7</v>
      </c>
      <c r="T6" s="95">
        <v>7</v>
      </c>
      <c r="U6" s="95">
        <v>3</v>
      </c>
      <c r="V6" s="95">
        <v>3</v>
      </c>
      <c r="AA6" s="94" t="s">
        <v>154</v>
      </c>
      <c r="AB6" s="92">
        <v>53</v>
      </c>
      <c r="AC6" s="92">
        <f>IF(AA6='ورود اطلاعات'!F8,AB6,0)</f>
        <v>0</v>
      </c>
    </row>
    <row r="7" spans="1:30" ht="24" customHeight="1" thickBot="1" x14ac:dyDescent="0.55000000000000004">
      <c r="A7" s="90"/>
      <c r="B7" s="443"/>
      <c r="C7" s="129" t="s">
        <v>5</v>
      </c>
      <c r="D7" s="170">
        <v>3188</v>
      </c>
      <c r="E7" s="123"/>
      <c r="F7" s="99" t="s">
        <v>155</v>
      </c>
      <c r="G7" s="100" t="s">
        <v>1</v>
      </c>
      <c r="H7" s="90"/>
      <c r="P7" s="111" t="s">
        <v>156</v>
      </c>
      <c r="Q7" s="111">
        <f>('جدول محاسبات'!F4+'جدول محاسبات'!F5)*75%</f>
        <v>0</v>
      </c>
      <c r="R7" s="111">
        <f>IF(Q8&gt;Q7,Q7,Q8)</f>
        <v>0</v>
      </c>
      <c r="S7" s="95">
        <v>8</v>
      </c>
      <c r="T7" s="95">
        <v>8</v>
      </c>
      <c r="U7" s="95">
        <v>4</v>
      </c>
      <c r="V7" s="95">
        <v>4</v>
      </c>
      <c r="Y7" s="92" t="s">
        <v>178</v>
      </c>
      <c r="AB7" s="119" t="s">
        <v>62</v>
      </c>
      <c r="AC7" s="119">
        <f>IF('ورود اطلاعات'!F7="بلی",SUM(AC1:AC6),0)</f>
        <v>39</v>
      </c>
      <c r="AD7" s="119">
        <f>AC7/12</f>
        <v>3.25</v>
      </c>
    </row>
    <row r="8" spans="1:30" ht="24" customHeight="1" thickBot="1" x14ac:dyDescent="0.55000000000000004">
      <c r="A8" s="90"/>
      <c r="B8" s="444"/>
      <c r="C8" s="127" t="s">
        <v>6</v>
      </c>
      <c r="D8" s="101">
        <f>SUM(D5:D7)</f>
        <v>7188</v>
      </c>
      <c r="E8" s="123"/>
      <c r="F8" s="124" t="s">
        <v>10</v>
      </c>
      <c r="G8" s="171">
        <v>0</v>
      </c>
      <c r="H8" s="90"/>
      <c r="P8" s="111" t="s">
        <v>157</v>
      </c>
      <c r="Q8" s="188">
        <f>'جدول محاسبات'!F6+'ورود اطلاعات (2)'!K11</f>
        <v>58.5</v>
      </c>
      <c r="R8" s="111"/>
      <c r="S8" s="95">
        <v>9</v>
      </c>
      <c r="T8" s="95">
        <v>10</v>
      </c>
      <c r="U8" s="95">
        <v>5</v>
      </c>
      <c r="V8" s="95">
        <v>5</v>
      </c>
      <c r="Y8" s="92" t="s">
        <v>179</v>
      </c>
      <c r="AB8" s="119" t="s">
        <v>158</v>
      </c>
      <c r="AC8" s="119">
        <f>IF(('ورود اطلاعات'!F9/2)&lt;500,'ورود اطلاعات'!F9/2,500)</f>
        <v>0</v>
      </c>
      <c r="AD8" s="119">
        <f>AC8</f>
        <v>0</v>
      </c>
    </row>
    <row r="9" spans="1:30" ht="24" customHeight="1" thickBot="1" x14ac:dyDescent="0.55000000000000004">
      <c r="A9" s="90"/>
      <c r="B9" s="435" t="s">
        <v>15</v>
      </c>
      <c r="C9" s="436"/>
      <c r="D9" s="172">
        <v>1500</v>
      </c>
      <c r="E9" s="123"/>
      <c r="F9" s="126" t="s">
        <v>11</v>
      </c>
      <c r="G9" s="173">
        <v>0</v>
      </c>
      <c r="H9" s="90"/>
      <c r="P9" s="111" t="s">
        <v>159</v>
      </c>
      <c r="Q9" s="187">
        <f>IF('ورود اطلاعات (2)'!K6="خیر",R6,R7)</f>
        <v>0</v>
      </c>
      <c r="R9" s="111"/>
      <c r="S9" s="95">
        <v>10</v>
      </c>
      <c r="U9" s="95">
        <v>6</v>
      </c>
      <c r="V9" s="95">
        <v>6</v>
      </c>
      <c r="Y9" s="92" t="s">
        <v>180</v>
      </c>
      <c r="AB9" s="119" t="s">
        <v>181</v>
      </c>
      <c r="AC9" s="119">
        <f>Z4</f>
        <v>0</v>
      </c>
      <c r="AD9" s="119">
        <f>AC9/12</f>
        <v>0</v>
      </c>
    </row>
    <row r="10" spans="1:30" ht="24" customHeight="1" thickBot="1" x14ac:dyDescent="0.55000000000000004">
      <c r="A10" s="90"/>
      <c r="B10" s="450" t="s">
        <v>16</v>
      </c>
      <c r="C10" s="451"/>
      <c r="D10" s="170">
        <v>0</v>
      </c>
      <c r="E10" s="123"/>
      <c r="F10" s="90"/>
      <c r="G10" s="90"/>
      <c r="H10" s="90"/>
      <c r="J10" s="90"/>
      <c r="K10" s="90"/>
      <c r="S10" s="95">
        <v>11</v>
      </c>
      <c r="U10" s="95">
        <v>7</v>
      </c>
      <c r="V10" s="95">
        <v>7</v>
      </c>
      <c r="AB10" s="119" t="s">
        <v>160</v>
      </c>
      <c r="AC10" s="119">
        <f>SUM(AC7:AC9)*'ورود اطلاعات'!F11%</f>
        <v>19.5</v>
      </c>
      <c r="AD10" s="119">
        <f>SUM(AD7:AD9)*'ورود اطلاعات'!F11%</f>
        <v>1.625</v>
      </c>
    </row>
    <row r="11" spans="1:30" ht="24" customHeight="1" x14ac:dyDescent="0.5">
      <c r="A11" s="90"/>
      <c r="B11" s="450" t="s">
        <v>17</v>
      </c>
      <c r="C11" s="451"/>
      <c r="D11" s="170">
        <v>0</v>
      </c>
      <c r="E11" s="123"/>
      <c r="F11" s="99" t="s">
        <v>155</v>
      </c>
      <c r="G11" s="100" t="s">
        <v>161</v>
      </c>
      <c r="H11" s="90"/>
      <c r="J11" s="109" t="s">
        <v>164</v>
      </c>
      <c r="K11" s="189">
        <f>AC11</f>
        <v>58.5</v>
      </c>
      <c r="S11" s="95">
        <v>12</v>
      </c>
      <c r="U11" s="95">
        <v>8</v>
      </c>
      <c r="V11" s="95">
        <v>8</v>
      </c>
      <c r="AB11" s="119" t="s">
        <v>205</v>
      </c>
      <c r="AC11" s="120">
        <f>IF(Sheet2!M22="قراردادی",SUM(AC7:AC10)*80%,SUM(AC7:AC10))</f>
        <v>58.5</v>
      </c>
      <c r="AD11" s="120">
        <f>SUM(AD7:AD10)</f>
        <v>4.875</v>
      </c>
    </row>
    <row r="12" spans="1:30" ht="24" customHeight="1" thickBot="1" x14ac:dyDescent="0.55000000000000004">
      <c r="A12" s="90"/>
      <c r="B12" s="450" t="s">
        <v>18</v>
      </c>
      <c r="C12" s="451"/>
      <c r="D12" s="170">
        <v>0</v>
      </c>
      <c r="E12" s="123"/>
      <c r="F12" s="128" t="s">
        <v>23</v>
      </c>
      <c r="G12" s="174">
        <v>21</v>
      </c>
      <c r="H12" s="90"/>
      <c r="J12" s="110" t="s">
        <v>165</v>
      </c>
      <c r="K12" s="118">
        <f>IF(Q9&gt;'جدول محاسبات'!F6,Q9,'جدول محاسبات'!F6)</f>
        <v>0</v>
      </c>
      <c r="S12" s="95">
        <v>13</v>
      </c>
      <c r="U12" s="95">
        <v>9</v>
      </c>
      <c r="V12" s="95">
        <v>9</v>
      </c>
    </row>
    <row r="13" spans="1:30" ht="24" customHeight="1" x14ac:dyDescent="0.5">
      <c r="A13" s="90"/>
      <c r="B13" s="450" t="s">
        <v>19</v>
      </c>
      <c r="C13" s="451"/>
      <c r="D13" s="170">
        <v>800</v>
      </c>
      <c r="E13" s="123"/>
      <c r="F13" s="128" t="s">
        <v>24</v>
      </c>
      <c r="G13" s="175">
        <v>0</v>
      </c>
      <c r="H13" s="90"/>
      <c r="S13" s="95">
        <v>15</v>
      </c>
      <c r="U13" s="95">
        <v>10</v>
      </c>
      <c r="V13" s="95">
        <v>10</v>
      </c>
    </row>
    <row r="14" spans="1:30" ht="24" customHeight="1" x14ac:dyDescent="0.5">
      <c r="A14" s="90"/>
      <c r="B14" s="450" t="s">
        <v>20</v>
      </c>
      <c r="C14" s="451"/>
      <c r="D14" s="170">
        <v>0</v>
      </c>
      <c r="E14" s="123"/>
      <c r="F14" s="128" t="s">
        <v>25</v>
      </c>
      <c r="G14" s="175">
        <v>0</v>
      </c>
      <c r="H14" s="90"/>
      <c r="U14" s="95">
        <v>11</v>
      </c>
      <c r="V14" s="95">
        <v>11</v>
      </c>
    </row>
    <row r="15" spans="1:30" ht="24" customHeight="1" thickBot="1" x14ac:dyDescent="0.55000000000000004">
      <c r="A15" s="90"/>
      <c r="B15" s="447" t="s">
        <v>21</v>
      </c>
      <c r="C15" s="448"/>
      <c r="D15" s="176">
        <v>0</v>
      </c>
      <c r="E15" s="123"/>
      <c r="F15" s="126" t="s">
        <v>162</v>
      </c>
      <c r="G15" s="169">
        <v>0</v>
      </c>
      <c r="H15" s="90"/>
      <c r="U15" s="95">
        <v>12</v>
      </c>
      <c r="V15" s="95">
        <v>12</v>
      </c>
    </row>
    <row r="16" spans="1:30" ht="18.350000000000001" thickBot="1" x14ac:dyDescent="0.55000000000000004">
      <c r="A16" s="90"/>
      <c r="B16" s="102"/>
      <c r="C16" s="102"/>
      <c r="D16" s="103"/>
      <c r="E16" s="90"/>
      <c r="F16" s="90"/>
      <c r="G16" s="90"/>
      <c r="H16" s="90"/>
      <c r="U16" s="95">
        <v>13</v>
      </c>
      <c r="V16" s="95">
        <v>13</v>
      </c>
    </row>
    <row r="17" spans="1:22" ht="18" x14ac:dyDescent="0.5">
      <c r="A17" s="90"/>
      <c r="B17" s="445"/>
      <c r="C17" s="446"/>
      <c r="D17" s="446"/>
      <c r="E17" s="446"/>
      <c r="F17" s="446"/>
      <c r="H17" s="90"/>
      <c r="U17" s="95">
        <v>14</v>
      </c>
      <c r="V17" s="95">
        <v>14</v>
      </c>
    </row>
    <row r="18" spans="1:22" ht="18.350000000000001" thickBot="1" x14ac:dyDescent="0.55000000000000004">
      <c r="A18" s="90"/>
      <c r="B18" s="447" t="s">
        <v>163</v>
      </c>
      <c r="C18" s="448"/>
      <c r="D18" s="448"/>
      <c r="E18" s="448"/>
      <c r="F18" s="448"/>
      <c r="G18" s="176" t="s">
        <v>13</v>
      </c>
      <c r="H18" s="90"/>
      <c r="U18" s="95">
        <v>15</v>
      </c>
      <c r="V18" s="95">
        <v>15</v>
      </c>
    </row>
    <row r="19" spans="1:22" ht="25.5" customHeight="1" x14ac:dyDescent="0.5">
      <c r="A19" s="90"/>
      <c r="B19" s="90"/>
      <c r="C19" s="90"/>
      <c r="D19" s="90"/>
      <c r="E19" s="104"/>
      <c r="F19" s="104"/>
      <c r="G19" s="104"/>
      <c r="H19" s="104"/>
      <c r="U19" s="95">
        <v>16</v>
      </c>
      <c r="V19" s="95">
        <v>16</v>
      </c>
    </row>
    <row r="20" spans="1:22" x14ac:dyDescent="0.5">
      <c r="A20" s="90"/>
      <c r="E20" s="104"/>
      <c r="F20" s="104"/>
      <c r="G20" s="104"/>
      <c r="H20" s="104"/>
      <c r="U20" s="95">
        <v>17</v>
      </c>
      <c r="V20" s="95">
        <v>17</v>
      </c>
    </row>
    <row r="21" spans="1:22" x14ac:dyDescent="0.5">
      <c r="A21" s="90"/>
      <c r="E21" s="104"/>
      <c r="F21" s="104"/>
      <c r="G21" s="104"/>
      <c r="H21" s="104"/>
      <c r="U21" s="95">
        <v>18</v>
      </c>
      <c r="V21" s="95">
        <v>18</v>
      </c>
    </row>
    <row r="22" spans="1:22" ht="18" x14ac:dyDescent="0.5">
      <c r="A22" s="90"/>
      <c r="E22" s="105"/>
      <c r="F22" s="90"/>
      <c r="G22" s="90"/>
      <c r="H22" s="104"/>
      <c r="U22" s="95">
        <v>19</v>
      </c>
      <c r="V22" s="95">
        <v>19</v>
      </c>
    </row>
    <row r="23" spans="1:22" ht="19.7" x14ac:dyDescent="1.1000000000000001">
      <c r="A23" s="90"/>
      <c r="E23" s="106"/>
      <c r="F23" s="449"/>
      <c r="G23" s="449"/>
      <c r="H23" s="104"/>
      <c r="U23" s="95">
        <v>20</v>
      </c>
      <c r="V23" s="95">
        <v>20</v>
      </c>
    </row>
    <row r="24" spans="1:22" x14ac:dyDescent="0.5">
      <c r="A24" s="90"/>
      <c r="E24" s="107"/>
      <c r="F24" s="453"/>
      <c r="G24" s="453"/>
      <c r="H24" s="104"/>
      <c r="U24" s="95">
        <v>21</v>
      </c>
      <c r="V24" s="95">
        <v>21</v>
      </c>
    </row>
    <row r="25" spans="1:22" ht="18" x14ac:dyDescent="0.5">
      <c r="A25" s="90"/>
      <c r="E25" s="90"/>
      <c r="F25" s="454"/>
      <c r="G25" s="454"/>
      <c r="H25" s="90"/>
      <c r="U25" s="95">
        <v>22</v>
      </c>
      <c r="V25" s="95">
        <v>22</v>
      </c>
    </row>
    <row r="26" spans="1:22" x14ac:dyDescent="0.5">
      <c r="A26" s="90"/>
      <c r="E26" s="108"/>
      <c r="F26" s="455"/>
      <c r="G26" s="455"/>
      <c r="H26" s="90"/>
      <c r="U26" s="95">
        <v>23</v>
      </c>
      <c r="V26" s="95">
        <v>23</v>
      </c>
    </row>
    <row r="27" spans="1:22" x14ac:dyDescent="0.5">
      <c r="A27" s="90"/>
      <c r="E27" s="90"/>
      <c r="F27" s="452"/>
      <c r="G27" s="385"/>
      <c r="H27" s="90"/>
      <c r="U27" s="95">
        <v>24</v>
      </c>
      <c r="V27" s="95">
        <v>24</v>
      </c>
    </row>
    <row r="28" spans="1:22" x14ac:dyDescent="0.5">
      <c r="A28" s="90"/>
      <c r="E28" s="90"/>
      <c r="F28" s="452"/>
      <c r="G28" s="385"/>
      <c r="H28" s="90"/>
      <c r="U28" s="95">
        <v>25</v>
      </c>
      <c r="V28" s="95">
        <v>25</v>
      </c>
    </row>
    <row r="29" spans="1:22" x14ac:dyDescent="0.5">
      <c r="A29" s="90"/>
      <c r="B29" s="90"/>
      <c r="C29" s="90"/>
      <c r="D29" s="90"/>
      <c r="E29" s="90"/>
      <c r="F29" s="90"/>
      <c r="G29" s="90"/>
      <c r="H29" s="90"/>
      <c r="U29" s="95">
        <v>26</v>
      </c>
      <c r="V29" s="95">
        <v>26</v>
      </c>
    </row>
    <row r="30" spans="1:22" x14ac:dyDescent="0.5">
      <c r="U30" s="95">
        <v>27</v>
      </c>
      <c r="V30" s="95">
        <v>27</v>
      </c>
    </row>
    <row r="31" spans="1:22" x14ac:dyDescent="0.5">
      <c r="U31" s="95">
        <v>28</v>
      </c>
      <c r="V31" s="95">
        <v>28</v>
      </c>
    </row>
    <row r="32" spans="1:22" x14ac:dyDescent="0.5">
      <c r="U32" s="95">
        <v>29</v>
      </c>
      <c r="V32" s="95">
        <v>29</v>
      </c>
    </row>
    <row r="33" spans="10:22" x14ac:dyDescent="0.5">
      <c r="U33" s="95">
        <v>30</v>
      </c>
      <c r="V33" s="95">
        <v>30</v>
      </c>
    </row>
    <row r="34" spans="10:22" x14ac:dyDescent="0.5">
      <c r="V34" s="95">
        <v>31</v>
      </c>
    </row>
    <row r="35" spans="10:22" x14ac:dyDescent="0.5">
      <c r="V35" s="95">
        <v>32</v>
      </c>
    </row>
    <row r="36" spans="10:22" x14ac:dyDescent="0.5">
      <c r="V36" s="95">
        <v>33</v>
      </c>
    </row>
    <row r="37" spans="10:22" ht="17.350000000000001" thickBot="1" x14ac:dyDescent="0.55000000000000004">
      <c r="V37" s="95">
        <v>34</v>
      </c>
    </row>
    <row r="38" spans="10:22" ht="18.350000000000001" thickBot="1" x14ac:dyDescent="0.55000000000000004">
      <c r="J38" s="121"/>
      <c r="K38" s="121"/>
      <c r="V38" s="95">
        <v>35</v>
      </c>
    </row>
    <row r="39" spans="10:22" ht="20" thickBot="1" x14ac:dyDescent="0.55000000000000004">
      <c r="J39" s="115"/>
      <c r="K39" s="117"/>
      <c r="V39" s="95">
        <v>36</v>
      </c>
    </row>
    <row r="40" spans="10:22" ht="19.350000000000001" x14ac:dyDescent="0.5">
      <c r="J40" s="114"/>
      <c r="K40" s="117"/>
      <c r="V40" s="95">
        <v>37</v>
      </c>
    </row>
    <row r="41" spans="10:22" ht="19.350000000000001" x14ac:dyDescent="0.5">
      <c r="J41" s="112"/>
      <c r="K41" s="117"/>
      <c r="V41" s="95">
        <v>38</v>
      </c>
    </row>
    <row r="42" spans="10:22" ht="19.350000000000001" x14ac:dyDescent="0.5">
      <c r="J42" s="112"/>
      <c r="K42" s="117"/>
      <c r="V42" s="95">
        <v>39</v>
      </c>
    </row>
    <row r="43" spans="10:22" ht="19.350000000000001" x14ac:dyDescent="0.5">
      <c r="J43" s="112"/>
      <c r="K43" s="117"/>
      <c r="V43" s="95">
        <v>40</v>
      </c>
    </row>
    <row r="44" spans="10:22" ht="19.350000000000001" x14ac:dyDescent="0.5">
      <c r="J44" s="112"/>
      <c r="K44" s="117"/>
      <c r="V44" s="95">
        <v>41</v>
      </c>
    </row>
    <row r="45" spans="10:22" ht="19.7" thickBot="1" x14ac:dyDescent="0.55000000000000004">
      <c r="J45" s="113"/>
      <c r="K45" s="117"/>
      <c r="V45" s="95">
        <v>42</v>
      </c>
    </row>
    <row r="46" spans="10:22" x14ac:dyDescent="0.5">
      <c r="J46" s="49"/>
      <c r="K46" s="49"/>
      <c r="V46" s="95">
        <v>43</v>
      </c>
    </row>
    <row r="47" spans="10:22" ht="23.35" x14ac:dyDescent="0.5">
      <c r="J47" s="89" t="s">
        <v>206</v>
      </c>
      <c r="K47" s="177">
        <v>17974500</v>
      </c>
      <c r="V47" s="95">
        <v>44</v>
      </c>
    </row>
    <row r="48" spans="10:22" ht="23.35" x14ac:dyDescent="0.5">
      <c r="J48" s="89" t="s">
        <v>207</v>
      </c>
      <c r="K48" s="177">
        <v>22468000</v>
      </c>
      <c r="M48" s="190"/>
      <c r="V48" s="95">
        <v>45</v>
      </c>
    </row>
    <row r="49" spans="10:22" ht="23.35" x14ac:dyDescent="0.5">
      <c r="J49" s="89" t="s">
        <v>167</v>
      </c>
      <c r="K49" s="178">
        <f>ROUND(Sheet2!H51+(Sheet2!H51*K50%),0)</f>
        <v>3353</v>
      </c>
      <c r="M49" s="190"/>
      <c r="V49" s="95">
        <v>46</v>
      </c>
    </row>
    <row r="50" spans="10:22" ht="23.35" x14ac:dyDescent="0.5">
      <c r="J50" s="89" t="s">
        <v>140</v>
      </c>
      <c r="K50" s="179">
        <f>IF(K52&gt;Sheet2!H10,Sheet2!H10,K52)</f>
        <v>0</v>
      </c>
      <c r="V50" s="95">
        <v>47</v>
      </c>
    </row>
    <row r="51" spans="10:22" ht="23.35" x14ac:dyDescent="0.5">
      <c r="J51" s="89" t="s">
        <v>171</v>
      </c>
      <c r="K51" s="180">
        <f>'جدول محاسبات'!G33/1000000</f>
        <v>0</v>
      </c>
      <c r="V51" s="95">
        <v>48</v>
      </c>
    </row>
    <row r="52" spans="10:22" ht="23.35" x14ac:dyDescent="0.5">
      <c r="J52" s="89" t="s">
        <v>172</v>
      </c>
      <c r="K52" s="180">
        <f>IF(K51&lt;=51,((-Sheet2!H10)/(27))*(K51-51),0)</f>
        <v>0</v>
      </c>
      <c r="V52" s="95">
        <v>49</v>
      </c>
    </row>
    <row r="53" spans="10:22" x14ac:dyDescent="0.5">
      <c r="V53" s="95">
        <v>50</v>
      </c>
    </row>
  </sheetData>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K6" xr:uid="{00000000-0002-0000-0600-000000000000}">
      <formula1>$W$2:$W$3</formula1>
    </dataValidation>
    <dataValidation type="list" allowBlank="1" showInputMessage="1" showErrorMessage="1" sqref="G15" xr:uid="{00000000-0002-0000-0600-000001000000}">
      <formula1>$U$3:$U$33</formula1>
    </dataValidation>
    <dataValidation type="list" allowBlank="1" showInputMessage="1" showErrorMessage="1" sqref="G14" xr:uid="{00000000-0002-0000-0600-000002000000}">
      <formula1>$S$3:$S$13</formula1>
    </dataValidation>
    <dataValidation type="list" allowBlank="1" showInputMessage="1" showErrorMessage="1" sqref="G13" xr:uid="{00000000-0002-0000-0600-000003000000}">
      <formula1>$T$3:$T$8</formula1>
    </dataValidation>
    <dataValidation type="list" allowBlank="1" showInputMessage="1" showErrorMessage="1" sqref="G12" xr:uid="{00000000-0002-0000-0600-000004000000}">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حکم سال 1400</vt:lpstr>
      <vt:lpstr>حکم سال 1401</vt:lpstr>
      <vt:lpstr>'جدول محاسبات'!Print_Area</vt:lpstr>
      <vt:lpstr>'حکم سال 1400'!Print_Area</vt:lpstr>
      <vt:lpstr>'حکم سال 1401'!Print_Area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2022-06-30T19:50:25Z</dcterms:modified>
</cp:coreProperties>
</file>