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CoYU/yqZv4whcFlCoDvvSr15KTpuc3rGjL7EP4u2jZqs0QqeS2YlGwQHIjQg3nyenKVOSbo4uEnH0WH0tpbcrw==" workbookSaltValue="CIWFxCV8wS+22jryP0ZcWQ==" workbookSpinCount="100000" lockStructure="1"/>
  <bookViews>
    <workbookView xWindow="0" yWindow="0" windowWidth="20400" windowHeight="7650" tabRatio="658"/>
  </bookViews>
  <sheets>
    <sheet name="محاسبه فوق العاده ویژه" sheetId="5" r:id="rId1"/>
    <sheet name="Sheet1" sheetId="11" state="veryHidden" r:id="rId2"/>
    <sheet name="Sheet2" sheetId="6" state="veryHidden" r:id="rId3"/>
    <sheet name="1111" sheetId="10" state="veryHidden" r:id="rId4"/>
  </sheets>
  <definedNames>
    <definedName name="_xlnm.Print_Area" localSheetId="3">'1111'!$B$1:$G$28</definedName>
    <definedName name="_xlnm.Print_Area" localSheetId="0">'محاسبه فوق العاده ویژه'!$B$1:$F$35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1" l="1"/>
  <c r="B27" i="5" s="1"/>
  <c r="E25" i="5"/>
  <c r="E24" i="5"/>
  <c r="E20" i="5"/>
  <c r="E21" i="5"/>
  <c r="E22" i="5"/>
  <c r="E23" i="5"/>
  <c r="E19" i="5"/>
  <c r="G5" i="11"/>
  <c r="F5" i="11" s="1"/>
  <c r="F29" i="5" s="1"/>
  <c r="F30" i="5" s="1"/>
  <c r="E18" i="11" l="1"/>
  <c r="E17" i="11" s="1"/>
  <c r="B17" i="11" l="1"/>
  <c r="D17" i="11"/>
  <c r="C17" i="11"/>
  <c r="K27" i="10"/>
  <c r="D20" i="11" l="1"/>
  <c r="D19" i="11" s="1"/>
  <c r="F17" i="11"/>
  <c r="B15" i="5" l="1"/>
  <c r="F13" i="5"/>
  <c r="F14" i="5" s="1"/>
  <c r="Z3" i="10"/>
  <c r="Z2" i="10"/>
  <c r="Z1" i="10"/>
  <c r="AC8" i="10"/>
  <c r="H72" i="6" l="1"/>
  <c r="H65" i="6" l="1"/>
  <c r="D8" i="10" l="1"/>
  <c r="AC6" i="10"/>
  <c r="AC5" i="10"/>
  <c r="AC4" i="10"/>
  <c r="AC3" i="10"/>
  <c r="AC2" i="10"/>
  <c r="AC1" i="10"/>
  <c r="AC7" i="10" l="1"/>
  <c r="AD8" i="10"/>
  <c r="Z4" i="10"/>
  <c r="AC9" i="10" s="1"/>
  <c r="AD7" i="10" l="1"/>
  <c r="AC10" i="10"/>
  <c r="AC11" i="10" s="1"/>
  <c r="K11" i="10" s="1"/>
  <c r="AD9" i="10"/>
  <c r="AD10" i="10" l="1"/>
  <c r="AD11" i="10" s="1"/>
  <c r="Q7" i="10" l="1"/>
  <c r="Q6" i="10"/>
  <c r="G55" i="6"/>
  <c r="H55" i="6" s="1"/>
  <c r="G56" i="6"/>
  <c r="H56" i="6" s="1"/>
  <c r="G66" i="6"/>
  <c r="H66" i="6" s="1"/>
  <c r="K35" i="6"/>
  <c r="AG39" i="6"/>
  <c r="AA5" i="6" l="1"/>
  <c r="AC5" i="6"/>
  <c r="AA6" i="6"/>
  <c r="AC6" i="6"/>
  <c r="AA7" i="6"/>
  <c r="AC7" i="6"/>
  <c r="AA8" i="6"/>
  <c r="AC8" i="6"/>
  <c r="AA9" i="6"/>
  <c r="AC9" i="6"/>
  <c r="AA10" i="6"/>
  <c r="AC10" i="6"/>
  <c r="AC12" i="6"/>
  <c r="Z23" i="6"/>
  <c r="Z24" i="6"/>
  <c r="Z25" i="6"/>
  <c r="Z26" i="6"/>
  <c r="Z27" i="6"/>
  <c r="Z28" i="6"/>
  <c r="Z29" i="6"/>
  <c r="Z30" i="6"/>
  <c r="Z31" i="6"/>
  <c r="Z32" i="6"/>
  <c r="Z33" i="6"/>
  <c r="Z34" i="6"/>
  <c r="Z35" i="6"/>
  <c r="Z36" i="6"/>
  <c r="Z37" i="6"/>
  <c r="Z38" i="6"/>
  <c r="Z39" i="6"/>
  <c r="Z40" i="6"/>
  <c r="AG40" i="6"/>
  <c r="AL40" i="6" s="1"/>
  <c r="Z41" i="6"/>
  <c r="AB41" i="6"/>
  <c r="AD41" i="6" s="1"/>
  <c r="AG41" i="6"/>
  <c r="AI41" i="6" s="1"/>
  <c r="Z42" i="6"/>
  <c r="AG42" i="6"/>
  <c r="AL42" i="6" s="1"/>
  <c r="Z43" i="6"/>
  <c r="AG43" i="6"/>
  <c r="H59" i="6"/>
  <c r="Q8" i="10" l="1"/>
  <c r="R6" i="10" s="1"/>
  <c r="G68" i="6"/>
  <c r="H68" i="6" s="1"/>
  <c r="G73" i="6"/>
  <c r="H73" i="6" s="1"/>
  <c r="G74" i="6"/>
  <c r="H74" i="6" s="1"/>
  <c r="G60" i="6"/>
  <c r="H60" i="6" s="1"/>
  <c r="G64" i="6"/>
  <c r="H64" i="6" s="1"/>
  <c r="G67" i="6"/>
  <c r="H67" i="6" s="1"/>
  <c r="G69" i="6"/>
  <c r="H69" i="6" s="1"/>
  <c r="G70" i="6"/>
  <c r="H70" i="6" s="1"/>
  <c r="I38" i="6"/>
  <c r="I39" i="6"/>
  <c r="AN43" i="6"/>
  <c r="AA11" i="6"/>
  <c r="AN39" i="6" s="1"/>
  <c r="AB11" i="6"/>
  <c r="AC11" i="6" s="1"/>
  <c r="AC13" i="6" s="1"/>
  <c r="Z44" i="6"/>
  <c r="AA44" i="6" s="1"/>
  <c r="AA42" i="6" s="1"/>
  <c r="AB42" i="6" s="1"/>
  <c r="AD42" i="6" s="1"/>
  <c r="AL43" i="6"/>
  <c r="AG44" i="6"/>
  <c r="AN41" i="6"/>
  <c r="AL41" i="6"/>
  <c r="AL39" i="6"/>
  <c r="AN42" i="6"/>
  <c r="AJ41" i="6"/>
  <c r="AN40" i="6"/>
  <c r="R7" i="10" l="1"/>
  <c r="Q9" i="10" s="1"/>
  <c r="K12" i="10" s="1"/>
  <c r="E22" i="6"/>
  <c r="I36" i="6"/>
  <c r="K31" i="6" s="1"/>
  <c r="AA41" i="6"/>
  <c r="AB40" i="6" s="1"/>
  <c r="AD40" i="6" s="1"/>
  <c r="AL44" i="6"/>
  <c r="AA43" i="6"/>
  <c r="AB43" i="6" s="1"/>
  <c r="AD43" i="6" s="1"/>
  <c r="AN44" i="6"/>
  <c r="AA40" i="6"/>
  <c r="K2" i="10" l="1"/>
  <c r="I37" i="6"/>
  <c r="K32" i="6" s="1"/>
  <c r="G57" i="6"/>
  <c r="AD44" i="6"/>
  <c r="AI39" i="6" s="1"/>
  <c r="J33" i="6" l="1"/>
  <c r="J35" i="6"/>
  <c r="K51" i="10"/>
  <c r="K52" i="10" s="1"/>
  <c r="K50" i="10" s="1"/>
  <c r="K49" i="10" s="1"/>
  <c r="H57" i="6"/>
  <c r="H58" i="6" s="1"/>
  <c r="AQ42" i="6" s="1"/>
  <c r="G58" i="6"/>
  <c r="G76" i="6" s="1"/>
  <c r="AI42" i="6"/>
  <c r="AJ42" i="6"/>
  <c r="AJ40" i="6"/>
  <c r="AI40" i="6"/>
  <c r="AJ39" i="6"/>
  <c r="AI43" i="6" l="1"/>
  <c r="AJ44" i="6" s="1"/>
  <c r="AJ43" i="6"/>
  <c r="H61" i="6" l="1"/>
  <c r="J34" i="6" l="1"/>
  <c r="H71" i="6"/>
  <c r="AQ38" i="6"/>
  <c r="K33" i="6" l="1"/>
  <c r="K34" i="6"/>
  <c r="H63" i="6" l="1"/>
  <c r="J32" i="6"/>
  <c r="H62" i="6"/>
  <c r="K3" i="10"/>
  <c r="J31" i="6"/>
  <c r="I2" i="6" l="1"/>
  <c r="H75" i="6"/>
  <c r="H76" i="6" s="1"/>
  <c r="AQ44" i="6" l="1"/>
  <c r="H2" i="6" l="1"/>
  <c r="H3" i="6" l="1"/>
  <c r="H6" i="6" s="1"/>
  <c r="H5" i="6" s="1"/>
  <c r="H4" i="6"/>
</calcChain>
</file>

<file path=xl/sharedStrings.xml><?xml version="1.0" encoding="utf-8"?>
<sst xmlns="http://schemas.openxmlformats.org/spreadsheetml/2006/main" count="225" uniqueCount="168">
  <si>
    <t>امتیاز</t>
  </si>
  <si>
    <t>مبلغ (ریال)</t>
  </si>
  <si>
    <t>حق شغل</t>
  </si>
  <si>
    <t>فوق العاده مدیریت</t>
  </si>
  <si>
    <t>حق شاغل</t>
  </si>
  <si>
    <t>جمع</t>
  </si>
  <si>
    <t>تفاوت تطبیق</t>
  </si>
  <si>
    <t>سایر</t>
  </si>
  <si>
    <t>بلی</t>
  </si>
  <si>
    <t>خیر</t>
  </si>
  <si>
    <t>حقوق و فوق العاده ها</t>
  </si>
  <si>
    <t>فوق العاده شغل</t>
  </si>
  <si>
    <t>فوق العاده ایثارگری</t>
  </si>
  <si>
    <t>خدمت در مناطق جنگی</t>
  </si>
  <si>
    <t>فوق العاده نشان های دولتی</t>
  </si>
  <si>
    <t>فوق العاده سختی شرایط محیط کار</t>
  </si>
  <si>
    <t>حق عائله مندی</t>
  </si>
  <si>
    <t>حق اولاد</t>
  </si>
  <si>
    <t>حقوق ثابت</t>
  </si>
  <si>
    <t>فوق العاده ویژه</t>
  </si>
  <si>
    <t>فوق العاده بدی آب و هوا</t>
  </si>
  <si>
    <t>فوق العاده مناطق کمتر توسعه یافته</t>
  </si>
  <si>
    <t>مدرک تحصیلی</t>
  </si>
  <si>
    <t>دیپلم</t>
  </si>
  <si>
    <t>فوق دیپلم</t>
  </si>
  <si>
    <t>لیسانس</t>
  </si>
  <si>
    <t>زیر دیپلم</t>
  </si>
  <si>
    <t>طبقه</t>
  </si>
  <si>
    <t>رتبه</t>
  </si>
  <si>
    <t>مقدماتی</t>
  </si>
  <si>
    <t>پایه</t>
  </si>
  <si>
    <t>ارشد</t>
  </si>
  <si>
    <t>خبره</t>
  </si>
  <si>
    <t>عالی</t>
  </si>
  <si>
    <t>فوق لیسانس</t>
  </si>
  <si>
    <t>دکتری</t>
  </si>
  <si>
    <t>تحصیلات</t>
  </si>
  <si>
    <t xml:space="preserve">طبقه </t>
  </si>
  <si>
    <t>حق شغل کارمند</t>
  </si>
  <si>
    <t>رتبه بندی فرهنگیان</t>
  </si>
  <si>
    <t>حق شغل فرهنگیان</t>
  </si>
  <si>
    <t>سایر اطلاعات</t>
  </si>
  <si>
    <t>امتیاز تحصیلات و مهارت</t>
  </si>
  <si>
    <t>ابتدایی</t>
  </si>
  <si>
    <t>متوسطه</t>
  </si>
  <si>
    <t>در چه مقطعی تدریس می کنید؟</t>
  </si>
  <si>
    <t>سنوات خدمت قابل قبول (سال)</t>
  </si>
  <si>
    <t>امتیاز سنوات و تجربه</t>
  </si>
  <si>
    <t>سنوات خدمت قابل قبول (ماه)</t>
  </si>
  <si>
    <t>کل ساعات آموزش ضمن خدمت مورد تایید</t>
  </si>
  <si>
    <t>امتیاز آموزش</t>
  </si>
  <si>
    <t>جمع امتیازات سنوات، تجربه و آموزش</t>
  </si>
  <si>
    <t>امتیاز مکتسبه</t>
  </si>
  <si>
    <t>مهارت و تحصیلات</t>
  </si>
  <si>
    <t>حقوق ثابت 98</t>
  </si>
  <si>
    <t>درصد کمتر توسعه یافته</t>
  </si>
  <si>
    <t>درصد بدی آب و هوا</t>
  </si>
  <si>
    <t>حقوق ثابت رتبه</t>
  </si>
  <si>
    <t>حقوق ثابت نهایی</t>
  </si>
  <si>
    <t>نمره ارزشیابی کسب شده در سال تحصیلی 98-97</t>
  </si>
  <si>
    <t>نمره ارزشیابی کسب شده در سال تحصیلی 97-96</t>
  </si>
  <si>
    <t>جدول زیر ویژه آن دسته از معلمانی است که رتبه شغلی شان مقدماتی می باشد.</t>
  </si>
  <si>
    <t>جدول زیر ویژه آن دسته از معلمانی است که 6 ساعت تدریس هفتگی اضافی
داشته و مشمول دریافت فوق العاده ویژه می باشند.</t>
  </si>
  <si>
    <t>مشمول فوق العاده ماده ۵۱  قانون جامع ایثارگران هستید؟</t>
  </si>
  <si>
    <t>تفاوت بند (ی) و تفاوت جزء (1) بند (الف) نیز مشمول افزایش امتیاز باشند؟</t>
  </si>
  <si>
    <t>شمول یا عدم شمول بندهای جدول ذیل در فصل دهم قانون مدیریت خدمات کشوری</t>
  </si>
  <si>
    <t>درصد فوق العاده ویژه</t>
  </si>
  <si>
    <t>جمع ایتمهای مشمول فوق العاده ویژه</t>
  </si>
  <si>
    <t>رند بند ی</t>
  </si>
  <si>
    <t>رند جز ۱ بند الف</t>
  </si>
  <si>
    <t>نوبت کاری</t>
  </si>
  <si>
    <t>درصد نوبت کاری</t>
  </si>
  <si>
    <t>درصد افزایش امتیازات (از ۱ تا ۵۰ عددی وارد نمایید)</t>
  </si>
  <si>
    <t>درصد مورد انتظار افزایش امتیازات در دستگاه محل خدمت  شما</t>
  </si>
  <si>
    <t>ضریب تعدیل سال ۹۹</t>
  </si>
  <si>
    <t>محاسبه حقوق و مزایای کارکنان دولت در سال ۹۸</t>
  </si>
  <si>
    <t>کارشناس</t>
  </si>
  <si>
    <t>به استناد تصویب نامه شماره 8724/ت56485ه مورخ 98/01/31 هیات محترم وزیران</t>
  </si>
  <si>
    <t>توسعه یافته</t>
  </si>
  <si>
    <t>بدی آب و هوا</t>
  </si>
  <si>
    <t>ویژه</t>
  </si>
  <si>
    <t>رئیس اداره</t>
  </si>
  <si>
    <r>
      <t xml:space="preserve">لطفا با دقت کامل، با توجه به آخرین حکم کارگزینی سال 97 خود تنها در خانه های </t>
    </r>
    <r>
      <rPr>
        <b/>
        <sz val="11"/>
        <color rgb="FFFFFF00"/>
        <rFont val="B Roya"/>
        <charset val="178"/>
      </rPr>
      <t>زرد رنگ</t>
    </r>
    <r>
      <rPr>
        <b/>
        <sz val="11"/>
        <color theme="1"/>
        <rFont val="B Roya"/>
        <charset val="178"/>
      </rPr>
      <t xml:space="preserve"> جداول زیر ورود اطلاعات نمایید</t>
    </r>
  </si>
  <si>
    <t>مدیر</t>
  </si>
  <si>
    <t>ضریب حقوق سال 98 (ریال)</t>
  </si>
  <si>
    <t>مشمول ماده ۵۱ قانون جامع ایثارگران</t>
  </si>
  <si>
    <t>فوق لیسانس و دکتری حرفه ای</t>
  </si>
  <si>
    <t>75 شغل</t>
  </si>
  <si>
    <t>دکتری تخصصی PHD</t>
  </si>
  <si>
    <t>سایر فوق العاده ها</t>
  </si>
  <si>
    <t>75 شغل و مدیریت</t>
  </si>
  <si>
    <t>شاغل اولیه 98</t>
  </si>
  <si>
    <t>آموزش</t>
  </si>
  <si>
    <t>جمع شاغل سال 98</t>
  </si>
  <si>
    <t>افزایش امتیاز</t>
  </si>
  <si>
    <t>درصد</t>
  </si>
  <si>
    <t>فوق العاده نوبت کاری</t>
  </si>
  <si>
    <t>جهت محاسبه بند ۷ مصوبه، تمامی آیتم های حقوقی به عنوان حقوق و مزایای مستمر سال 97 و ۹۸ لحاظ گردند؟</t>
  </si>
  <si>
    <t>کمتر از 30 سال سابقه خدمت دارید؟</t>
  </si>
  <si>
    <t>جایگاه (پست) سازمانی</t>
  </si>
  <si>
    <t>امتیاز حق شاغل سال 98</t>
  </si>
  <si>
    <t>امتیاز حق شاغل حکم سال 99</t>
  </si>
  <si>
    <t>ضریب پلکانی سال ۹۹</t>
  </si>
  <si>
    <t>اعمال ضریب سنواتی سال ۹۹
و امتیاز حق شاغل ۹۹</t>
  </si>
  <si>
    <t>فوق‌العاده مدیریت نیز در محاسبه سقف 75% حق شاغل لحاظ گردد؟</t>
  </si>
  <si>
    <t>جمع حقوق و مزایای سال ۹۸ به میلیون ریال</t>
  </si>
  <si>
    <t>فرمول ضریب تعدیل سال ۹۹</t>
  </si>
  <si>
    <t>درصد ضریب تعدیل در سال ۹۹ از صفر تا چه درصدی باشد؟</t>
  </si>
  <si>
    <t>درصد افزایش امتیازات فصل دهم قانون مدیریت خدمات کشوری در سازمان شما</t>
  </si>
  <si>
    <t>قراردادی</t>
  </si>
  <si>
    <t>پیمانی</t>
  </si>
  <si>
    <t>رسمی</t>
  </si>
  <si>
    <t>امتیاز سرپرستی</t>
  </si>
  <si>
    <t>جزء مقامات سیاسی (موضوع ماده ۷۱ قانون مدیریت) هستید؟</t>
  </si>
  <si>
    <t>ضریب حقوق سال 1399</t>
  </si>
  <si>
    <t>ضریب حقوق سال 1400</t>
  </si>
  <si>
    <t>حق شاغل 1400</t>
  </si>
  <si>
    <t>ساعات آموزش سال 1399</t>
  </si>
  <si>
    <t>حداقل حقوق سال 1399</t>
  </si>
  <si>
    <t>حداقل حقوق سال 1400</t>
  </si>
  <si>
    <t>جدول زیر مربوط به مشمولین ماده ۵۱ قانون جامع خدمات رسانی به ایثارگران است.</t>
  </si>
  <si>
    <t>اطلاعات جدول زیر جهت محاسبه امتیاز حق شاغل سال 1400 می باشد.</t>
  </si>
  <si>
    <t>درصد فوق العاده جذب هیات امناء</t>
  </si>
  <si>
    <t>جمع ایتمهای مشمول فوق العاده جذب هیأت امناء</t>
  </si>
  <si>
    <t>کمتر از 35 میلیون</t>
  </si>
  <si>
    <t>بیشتر از 25 میلیون</t>
  </si>
  <si>
    <t>جمع کمتر از 35 میلیون</t>
  </si>
  <si>
    <t>تفاضل بیش از 25 میلیون</t>
  </si>
  <si>
    <t>محاسبه مفدار بیشتر از 25</t>
  </si>
  <si>
    <t>بند جدید</t>
  </si>
  <si>
    <t>وب سایت تخصصی اداری و استخدامی شناسنامه قانون</t>
  </si>
  <si>
    <t>کارشناس  امور اداری و کارگزینی</t>
  </si>
  <si>
    <t>اینستاگرام (instagram)</t>
  </si>
  <si>
    <t>پست الکترونیکی (Email)</t>
  </si>
  <si>
    <t>تبصره ۱۲</t>
  </si>
  <si>
    <t>الف ـ</t>
  </si>
  <si>
    <t>۱- ضریب حقوق گروه‌های مختلف حقوق‌بگیر در ‌دستگاه‌های اجرائی موضوع ماده (۲۹) قانون برنامه ششم توسعه و همچنین نیروهای مسلح، وزارت اطلاعات و سازمان انرژی اتمی (به استثنای مشمولان قانون کار جمهوری اسلامی ایران) از قبیل کارکنان کشوری و لشکری، اعضای هیأت علمی دانشگاهها و مؤسسات آموزش عالی و پژوهشی و قضات که توسط دولت تعیین می‌گردد و همچنین افزایش حقوق بازنشستگان، وظیفه‌بگیران و مشترکان صندوق‌های بازنشستگی به نحوی اعمال گردد که در نهایت به‌میزان بیست و پنج درصد (۲۵%) براساس آخرین حکم کارگزینی سال ۱۳۹۹ افزایش یابد مشروط بر آنکه میزان افزایش حقوق هیچکس نسبت به سال ۱۳۹۹ از بیست و پنج میلیون (۲۵.۰۰۰.۰۰۰) ریال تجاوز نکند. تفاوت تطبیق موضوع ماده (۷۸) قانون مدیریت خدمات کشوری در حکم حقوق، بدون تغییر باقی می‌ماند.</t>
  </si>
  <si>
    <t>۲- در سال ۱۴۰۰ در کلیه ‌دستگاه‌های اجرائی موضوع ماده (۲۹) قانون برنامه ششم توسعه و همچنین نیروهای مسلح، وزارت اطلاعات و سازمان انرژی اتمی (به‌استثنای مشمولان قانون کار جمهوری اسلامی ایران)، حداقل حقوق و مزایای مستمر شاغلان مشمول قانون مدیریت خدمات کشوری و حداقل حقوق سایر حقوق بگیران، حداقل حقوق بازنشستگان و وظیفه‌بگیران مشمول صندوق‌ بازنشستگی کشوری و سازمان تأمین اجتماعی نیروهای مسلح و سایر صندوق‌های وابسته به ‌دستگاه‌های اجرائی و مستمری‌ها و سایر حمایت‌های متناسب با آنها، معادل افزایش ضریب ریالی افزایش می‌یابد.</t>
  </si>
  <si>
    <t>۳- پس از اعمال افزایش ضریب ریالی حقوق برای گروههای مختلف حقوق‌بگیر موضوع جزء (۱) این بند و معادل افزایش ضریب ریالی برای افزایش حقوق بازنشستگان و وظیفه بگیران، مجموع مبلغ مندرج در حکم کارگزینی برای کارکنان رسمی و پیمانی و مبلغ قرارداد منعقده ماهانه برای کارکنان قرارداد کارمعین (مشخص) و کارکنان طرح خدمت پزشکان و پیراپزشکان در وزارت بهداشت، درمان و آموزش پزشکی به نسبت مدت کارکرد و حکم حقوق بازنشستگان متناسب سنوات خدمت قابل قبول، از سی و پنج میلیون (۳۵.۰۰۰.۰۰۰) ریال کمتر نباشد.</t>
  </si>
  <si>
    <t>ضریب حقوق  (ضریب حقوقی مقامات در سال 1399 متفاوت از سایر کارکنان بود)</t>
  </si>
  <si>
    <t>دانلود آخرین نسخه فایل اکسل</t>
  </si>
  <si>
    <t>لطفا به سوال زیر بصورت بلی یا خیر پاسخ دهید.</t>
  </si>
  <si>
    <t>لطفا با دقت کامل و با توجه به آخرین حکم کارگزینی سال 1400، تنها در خانه های زرد رنگ جداول زیر ورود اطلاعات نمایید</t>
  </si>
  <si>
    <t>عنوان</t>
  </si>
  <si>
    <t>فاقد رتبه</t>
  </si>
  <si>
    <t>رتبه یک (1)</t>
  </si>
  <si>
    <t>رتبه سه (3)</t>
  </si>
  <si>
    <t>رتبه چهار (4)</t>
  </si>
  <si>
    <t>رتبه پنج (5)</t>
  </si>
  <si>
    <t>رتبه دو (2)</t>
  </si>
  <si>
    <t>نگارش 2</t>
  </si>
  <si>
    <t>رقم فوق العاده ویژه مندرج در آخرین خکم کارگزینی خود را وارد نمایید. (ریال)</t>
  </si>
  <si>
    <t>درصد جدید</t>
  </si>
  <si>
    <t>مقدار افزایش (ریال)</t>
  </si>
  <si>
    <t>رقم فوق العاده ویژه شما در حکم جدید (ریال)</t>
  </si>
  <si>
    <t>نتایج محاسبات با توجه به اطلاعات وارد شده</t>
  </si>
  <si>
    <t>با استناد به مجوز شماره 3187975 مورخ 1400/04/23 سازمان برنامه و بودجه کشور</t>
  </si>
  <si>
    <t>تهیه و تنظیم: صیاح الدین شهدی</t>
  </si>
  <si>
    <t>لطفاً به سوالات ذیل پاسخ دهید</t>
  </si>
  <si>
    <t>در چه مقطعی تدریس می کنید؟     (ابتدایی - متوسطه)</t>
  </si>
  <si>
    <t>معلم تمام وقت هستید؟     (بلی - خیر)</t>
  </si>
  <si>
    <t>آخرین رتبه ای که کسب نموده اید، کدام است؟     (1 الی 5)</t>
  </si>
  <si>
    <t>محاسبه افزایش فوق العاده ویژه (موضوع بند 10 ماده 68 قانون مدیریت خدمات کشوری) مشمولین طرح طبقه بندی معلمان</t>
  </si>
  <si>
    <t>تفاوت تطبیق جزء (3) بند (الف) تبصره (12) قانون بودجه 1400 (اریال)</t>
  </si>
  <si>
    <t>در صورتی که ردیف ذیل در حکم کارگزینی یا فیش حقوقی شما وجود دارد، مبلغ ریالی آن را وارد نمایید.</t>
  </si>
  <si>
    <t>مبنای ورود اطلاعات چه باشد ؟    امتیاز یا مبلغ (ریال)</t>
  </si>
  <si>
    <t>ابتدا به سوال ذیل پاسخ دهید و سپس در خانه های مشخص شده ورود اطلاعات نمایید.</t>
  </si>
  <si>
    <t>نسخه شماره 3       1400/05/20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</si>
</sst>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3000401]0"/>
  </numFmts>
  <fonts count="43" x14ac:knownFonts="1">
    <font>
      <sz val="11"/>
      <color theme="1"/>
      <name val="Arial"/>
      <family val="2"/>
      <scheme val="minor"/>
    </font>
    <font>
      <b/>
      <sz val="11"/>
      <color theme="1"/>
      <name val="B Nazanin"/>
      <charset val="178"/>
    </font>
    <font>
      <sz val="11"/>
      <color theme="1"/>
      <name val="B Nazanin"/>
      <charset val="178"/>
    </font>
    <font>
      <sz val="12"/>
      <color theme="1"/>
      <name val="B Nazanin"/>
      <charset val="178"/>
    </font>
    <font>
      <sz val="10"/>
      <color theme="1"/>
      <name val="B Nazanin"/>
      <charset val="178"/>
    </font>
    <font>
      <sz val="14"/>
      <color theme="1"/>
      <name val="B Nazanin"/>
      <charset val="178"/>
    </font>
    <font>
      <u/>
      <sz val="11"/>
      <color theme="10"/>
      <name val="Arial"/>
      <family val="2"/>
      <scheme val="minor"/>
    </font>
    <font>
      <b/>
      <sz val="11"/>
      <color theme="1"/>
      <name val="B Roya"/>
      <charset val="178"/>
    </font>
    <font>
      <b/>
      <sz val="11"/>
      <name val="B Roya"/>
      <charset val="178"/>
    </font>
    <font>
      <b/>
      <sz val="14"/>
      <color theme="1"/>
      <name val="B Nazanin"/>
      <charset val="178"/>
    </font>
    <font>
      <b/>
      <sz val="12"/>
      <color theme="1"/>
      <name val="B Nazanin"/>
      <charset val="178"/>
    </font>
    <font>
      <sz val="14"/>
      <color theme="0"/>
      <name val="B Nazanin"/>
      <charset val="178"/>
    </font>
    <font>
      <sz val="14"/>
      <name val="B Nazanin"/>
      <charset val="178"/>
    </font>
    <font>
      <sz val="14"/>
      <color rgb="FFFFFF00"/>
      <name val="B Nazanin"/>
      <charset val="178"/>
    </font>
    <font>
      <b/>
      <sz val="14"/>
      <name val="B Nazanin"/>
      <charset val="178"/>
    </font>
    <font>
      <b/>
      <sz val="11"/>
      <color theme="8" tint="-0.499984740745262"/>
      <name val="B Nazanin"/>
      <charset val="178"/>
    </font>
    <font>
      <b/>
      <sz val="16"/>
      <color theme="9" tint="-0.499984740745262"/>
      <name val="B Nazanin"/>
      <charset val="178"/>
    </font>
    <font>
      <b/>
      <sz val="12"/>
      <color theme="0"/>
      <name val="B Nazanin"/>
      <charset val="178"/>
    </font>
    <font>
      <b/>
      <sz val="14"/>
      <color theme="9" tint="-0.499984740745262"/>
      <name val="B Nazanin"/>
      <charset val="178"/>
    </font>
    <font>
      <u/>
      <sz val="12"/>
      <color theme="7" tint="-0.249977111117893"/>
      <name val="Arial"/>
      <family val="2"/>
      <scheme val="minor"/>
    </font>
    <font>
      <b/>
      <sz val="14"/>
      <color theme="8" tint="-0.499984740745262"/>
      <name val="B Nazanin"/>
      <charset val="178"/>
    </font>
    <font>
      <b/>
      <sz val="11"/>
      <color rgb="FF7030A0"/>
      <name val="B Nazanin"/>
      <charset val="178"/>
    </font>
    <font>
      <b/>
      <sz val="12"/>
      <name val="B Nazanin"/>
      <charset val="178"/>
    </font>
    <font>
      <b/>
      <sz val="16"/>
      <color theme="1"/>
      <name val="B Roya"/>
      <charset val="178"/>
    </font>
    <font>
      <sz val="11"/>
      <name val="B Nazanin"/>
      <charset val="178"/>
    </font>
    <font>
      <b/>
      <sz val="12"/>
      <color theme="1"/>
      <name val="B Roya"/>
      <charset val="178"/>
    </font>
    <font>
      <b/>
      <sz val="11"/>
      <color rgb="FFFFFF00"/>
      <name val="B Roya"/>
      <charset val="178"/>
    </font>
    <font>
      <b/>
      <u/>
      <sz val="12"/>
      <color theme="10"/>
      <name val="B Nazanin"/>
      <charset val="178"/>
    </font>
    <font>
      <b/>
      <sz val="11"/>
      <color theme="8" tint="-0.249977111117893"/>
      <name val="B Nazanin"/>
      <charset val="178"/>
    </font>
    <font>
      <b/>
      <sz val="10"/>
      <color theme="8" tint="-0.249977111117893"/>
      <name val="B Nazanin"/>
      <charset val="178"/>
    </font>
    <font>
      <b/>
      <sz val="11"/>
      <color theme="1"/>
      <name val="Arial"/>
      <family val="2"/>
      <scheme val="minor"/>
    </font>
    <font>
      <b/>
      <sz val="11"/>
      <name val="B Mitra"/>
      <charset val="178"/>
    </font>
    <font>
      <b/>
      <sz val="14"/>
      <color theme="1"/>
      <name val="B Mitra"/>
      <charset val="178"/>
    </font>
    <font>
      <sz val="12"/>
      <color theme="8" tint="-0.499984740745262"/>
      <name val="B Nazanin"/>
      <charset val="178"/>
    </font>
    <font>
      <b/>
      <sz val="16"/>
      <color theme="8" tint="-0.499984740745262"/>
      <name val="B Roya"/>
      <charset val="178"/>
    </font>
    <font>
      <b/>
      <sz val="14"/>
      <color rgb="FF333333"/>
      <name val="Arial"/>
      <family val="2"/>
      <scheme val="minor"/>
    </font>
    <font>
      <sz val="10"/>
      <color rgb="FF333333"/>
      <name val="Arial"/>
      <family val="2"/>
      <scheme val="minor"/>
    </font>
    <font>
      <b/>
      <sz val="12"/>
      <color theme="1" tint="4.9989318521683403E-2"/>
      <name val="B Nazanin"/>
      <charset val="178"/>
    </font>
    <font>
      <sz val="12"/>
      <color theme="1"/>
      <name val="B Mitra"/>
      <charset val="178"/>
    </font>
    <font>
      <sz val="18"/>
      <color rgb="FFFF0000"/>
      <name val="B Mitra"/>
      <charset val="178"/>
    </font>
    <font>
      <b/>
      <sz val="18"/>
      <color theme="9" tint="-0.499984740745262"/>
      <name val="B Nazanin"/>
      <charset val="178"/>
    </font>
    <font>
      <b/>
      <sz val="16"/>
      <color theme="8" tint="-0.499984740745262"/>
      <name val="B Nazanin"/>
      <charset val="178"/>
    </font>
    <font>
      <b/>
      <sz val="12"/>
      <color rgb="FF7030A0"/>
      <name val="B Nazanin"/>
      <charset val="178"/>
    </font>
  </fonts>
  <fills count="2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49998474074526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92D050"/>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
      <left/>
      <right style="thin">
        <color indexed="64"/>
      </right>
      <top style="dotted">
        <color indexed="64"/>
      </top>
      <bottom style="dotted">
        <color indexed="64"/>
      </bottom>
      <diagonal/>
    </border>
    <border>
      <left/>
      <right/>
      <top/>
      <bottom style="double">
        <color indexed="64"/>
      </bottom>
      <diagonal/>
    </border>
    <border>
      <left/>
      <right/>
      <top/>
      <bottom style="dotted">
        <color theme="8" tint="-0.249977111117893"/>
      </bottom>
      <diagonal/>
    </border>
    <border>
      <left style="dotted">
        <color theme="8" tint="-0.249977111117893"/>
      </left>
      <right/>
      <top style="dotted">
        <color theme="8" tint="-0.249977111117893"/>
      </top>
      <bottom style="dotted">
        <color theme="8" tint="-0.249977111117893"/>
      </bottom>
      <diagonal/>
    </border>
    <border>
      <left/>
      <right style="dotted">
        <color theme="8" tint="-0.249977111117893"/>
      </right>
      <top style="dotted">
        <color theme="8" tint="-0.249977111117893"/>
      </top>
      <bottom style="dotted">
        <color theme="8" tint="-0.249977111117893"/>
      </bottom>
      <diagonal/>
    </border>
  </borders>
  <cellStyleXfs count="2">
    <xf numFmtId="0" fontId="0" fillId="0" borderId="0"/>
    <xf numFmtId="0" fontId="6" fillId="0" borderId="0" applyNumberFormat="0" applyFill="0" applyBorder="0" applyAlignment="0" applyProtection="0"/>
  </cellStyleXfs>
  <cellXfs count="259">
    <xf numFmtId="0" fontId="0" fillId="0" borderId="0" xfId="0"/>
    <xf numFmtId="0" fontId="5" fillId="0" borderId="11" xfId="0" applyFont="1" applyBorder="1" applyAlignment="1" applyProtection="1">
      <alignment horizontal="center"/>
      <protection hidden="1"/>
    </xf>
    <xf numFmtId="0" fontId="5" fillId="10" borderId="12" xfId="0" applyFont="1" applyFill="1" applyBorder="1" applyAlignment="1" applyProtection="1">
      <alignment horizontal="center"/>
      <protection hidden="1"/>
    </xf>
    <xf numFmtId="0" fontId="5" fillId="0" borderId="7" xfId="0" applyFont="1" applyBorder="1" applyAlignment="1" applyProtection="1">
      <alignment horizontal="center"/>
      <protection hidden="1"/>
    </xf>
    <xf numFmtId="0" fontId="5" fillId="10" borderId="6" xfId="0" applyFont="1" applyFill="1" applyBorder="1" applyAlignment="1" applyProtection="1">
      <alignment horizontal="center"/>
      <protection hidden="1"/>
    </xf>
    <xf numFmtId="0" fontId="5" fillId="0" borderId="20" xfId="0" applyFont="1" applyBorder="1" applyAlignment="1" applyProtection="1">
      <alignment horizontal="center"/>
      <protection hidden="1"/>
    </xf>
    <xf numFmtId="0" fontId="5" fillId="10" borderId="24" xfId="0" applyFont="1" applyFill="1" applyBorder="1" applyAlignment="1" applyProtection="1">
      <alignment horizontal="center"/>
      <protection hidden="1"/>
    </xf>
    <xf numFmtId="164" fontId="5" fillId="0" borderId="7" xfId="0" applyNumberFormat="1" applyFont="1" applyBorder="1" applyAlignment="1" applyProtection="1">
      <alignment horizontal="center"/>
      <protection hidden="1"/>
    </xf>
    <xf numFmtId="164" fontId="5" fillId="0" borderId="20" xfId="0" applyNumberFormat="1" applyFont="1" applyBorder="1" applyAlignment="1" applyProtection="1">
      <alignment horizontal="center"/>
      <protection hidden="1"/>
    </xf>
    <xf numFmtId="164" fontId="5" fillId="0" borderId="8" xfId="0" applyNumberFormat="1"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3" xfId="0" applyFont="1" applyBorder="1" applyAlignment="1" applyProtection="1">
      <alignment horizontal="center"/>
      <protection hidden="1"/>
    </xf>
    <xf numFmtId="164" fontId="5" fillId="0" borderId="9" xfId="0" applyNumberFormat="1" applyFont="1" applyBorder="1" applyAlignment="1" applyProtection="1">
      <alignment horizontal="center"/>
      <protection hidden="1"/>
    </xf>
    <xf numFmtId="0" fontId="5" fillId="0" borderId="4" xfId="0" applyFont="1" applyBorder="1" applyAlignment="1" applyProtection="1">
      <alignment horizontal="center"/>
      <protection hidden="1"/>
    </xf>
    <xf numFmtId="9" fontId="5" fillId="0" borderId="7" xfId="0" applyNumberFormat="1" applyFont="1" applyBorder="1" applyAlignment="1" applyProtection="1">
      <alignment horizontal="center"/>
      <protection hidden="1"/>
    </xf>
    <xf numFmtId="1" fontId="5" fillId="0" borderId="6" xfId="0" applyNumberFormat="1" applyFont="1" applyBorder="1" applyAlignment="1" applyProtection="1">
      <alignment horizontal="center"/>
      <protection hidden="1"/>
    </xf>
    <xf numFmtId="9" fontId="5" fillId="0" borderId="20" xfId="0" applyNumberFormat="1" applyFont="1" applyBorder="1" applyAlignment="1" applyProtection="1">
      <alignment horizontal="center"/>
      <protection hidden="1"/>
    </xf>
    <xf numFmtId="1" fontId="5" fillId="0" borderId="24" xfId="0" applyNumberFormat="1" applyFont="1" applyBorder="1" applyAlignment="1" applyProtection="1">
      <alignment horizontal="center"/>
      <protection hidden="1"/>
    </xf>
    <xf numFmtId="1" fontId="5" fillId="3" borderId="15" xfId="0" applyNumberFormat="1" applyFont="1" applyFill="1" applyBorder="1" applyAlignment="1" applyProtection="1">
      <alignment horizontal="center"/>
      <protection hidden="1"/>
    </xf>
    <xf numFmtId="0" fontId="5" fillId="10" borderId="23" xfId="0" applyFont="1" applyFill="1" applyBorder="1" applyAlignment="1" applyProtection="1">
      <alignment horizontal="center"/>
      <protection hidden="1"/>
    </xf>
    <xf numFmtId="2" fontId="11" fillId="12" borderId="2" xfId="0" applyNumberFormat="1" applyFont="1" applyFill="1" applyBorder="1" applyAlignment="1" applyProtection="1">
      <alignment horizontal="center"/>
      <protection hidden="1"/>
    </xf>
    <xf numFmtId="0" fontId="12" fillId="0" borderId="6" xfId="0" applyFont="1" applyFill="1" applyBorder="1" applyAlignment="1" applyProtection="1">
      <alignment horizontal="center"/>
      <protection hidden="1"/>
    </xf>
    <xf numFmtId="2" fontId="11" fillId="12" borderId="4" xfId="0" applyNumberFormat="1" applyFont="1" applyFill="1" applyBorder="1" applyAlignment="1" applyProtection="1">
      <alignment horizontal="center"/>
      <protection hidden="1"/>
    </xf>
    <xf numFmtId="0" fontId="12" fillId="0" borderId="27" xfId="0" applyFont="1" applyFill="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13" borderId="15" xfId="0" applyFont="1" applyFill="1" applyBorder="1" applyAlignment="1" applyProtection="1">
      <alignment horizontal="center"/>
      <protection hidden="1"/>
    </xf>
    <xf numFmtId="164" fontId="5" fillId="0" borderId="5" xfId="0" applyNumberFormat="1" applyFont="1" applyBorder="1" applyAlignment="1" applyProtection="1">
      <alignment horizontal="center"/>
      <protection hidden="1"/>
    </xf>
    <xf numFmtId="0" fontId="5" fillId="15" borderId="1" xfId="0" applyFont="1" applyFill="1" applyBorder="1" applyAlignment="1" applyProtection="1">
      <alignment horizontal="center"/>
      <protection hidden="1"/>
    </xf>
    <xf numFmtId="0" fontId="5" fillId="15" borderId="8" xfId="0" applyFont="1" applyFill="1" applyBorder="1" applyAlignment="1" applyProtection="1">
      <alignment horizontal="center"/>
      <protection hidden="1"/>
    </xf>
    <xf numFmtId="0" fontId="5" fillId="15" borderId="2" xfId="0" applyFont="1" applyFill="1" applyBorder="1" applyAlignment="1" applyProtection="1">
      <alignment horizontal="center"/>
      <protection hidden="1"/>
    </xf>
    <xf numFmtId="0" fontId="13" fillId="16" borderId="15" xfId="0" applyFont="1" applyFill="1" applyBorder="1" applyAlignment="1" applyProtection="1">
      <alignment horizontal="center"/>
      <protection hidden="1"/>
    </xf>
    <xf numFmtId="164" fontId="5" fillId="0" borderId="1" xfId="0" applyNumberFormat="1" applyFont="1" applyBorder="1" applyAlignment="1" applyProtection="1">
      <alignment horizontal="center"/>
      <protection hidden="1"/>
    </xf>
    <xf numFmtId="164" fontId="5" fillId="0" borderId="2" xfId="0" applyNumberFormat="1" applyFont="1" applyBorder="1" applyAlignment="1" applyProtection="1">
      <alignment horizontal="center"/>
      <protection hidden="1"/>
    </xf>
    <xf numFmtId="164" fontId="5" fillId="0" borderId="6" xfId="0" applyNumberFormat="1" applyFont="1" applyBorder="1" applyAlignment="1" applyProtection="1">
      <alignment horizontal="center"/>
      <protection hidden="1"/>
    </xf>
    <xf numFmtId="164" fontId="5" fillId="0" borderId="26" xfId="0" applyNumberFormat="1" applyFont="1" applyBorder="1" applyAlignment="1" applyProtection="1">
      <alignment horizontal="center"/>
      <protection hidden="1"/>
    </xf>
    <xf numFmtId="164" fontId="5" fillId="0" borderId="24" xfId="0" applyNumberFormat="1" applyFont="1" applyBorder="1" applyAlignment="1" applyProtection="1">
      <alignment horizontal="center"/>
      <protection hidden="1"/>
    </xf>
    <xf numFmtId="164" fontId="14" fillId="3" borderId="13" xfId="0" applyNumberFormat="1" applyFont="1" applyFill="1" applyBorder="1" applyAlignment="1" applyProtection="1">
      <alignment horizontal="center"/>
      <protection hidden="1"/>
    </xf>
    <xf numFmtId="164" fontId="14" fillId="3" borderId="15" xfId="0" applyNumberFormat="1" applyFont="1" applyFill="1" applyBorder="1" applyAlignment="1" applyProtection="1">
      <alignment horizontal="center"/>
      <protection hidden="1"/>
    </xf>
    <xf numFmtId="164" fontId="14" fillId="3" borderId="13" xfId="0" applyNumberFormat="1" applyFont="1" applyFill="1" applyBorder="1" applyAlignment="1" applyProtection="1">
      <alignment horizontal="center" shrinkToFit="1"/>
      <protection hidden="1"/>
    </xf>
    <xf numFmtId="0" fontId="10" fillId="8" borderId="1" xfId="0" applyFont="1" applyFill="1" applyBorder="1" applyAlignment="1" applyProtection="1">
      <alignment horizontal="center" vertical="center" shrinkToFit="1" readingOrder="2"/>
      <protection hidden="1"/>
    </xf>
    <xf numFmtId="0" fontId="10" fillId="8" borderId="5" xfId="0" applyFont="1" applyFill="1" applyBorder="1" applyAlignment="1" applyProtection="1">
      <alignment horizontal="center" vertical="center" shrinkToFit="1" readingOrder="2"/>
      <protection hidden="1"/>
    </xf>
    <xf numFmtId="0" fontId="10" fillId="8" borderId="3" xfId="0" applyFont="1" applyFill="1" applyBorder="1" applyAlignment="1" applyProtection="1">
      <alignment horizontal="center" vertical="center" shrinkToFit="1" readingOrder="2"/>
      <protection hidden="1"/>
    </xf>
    <xf numFmtId="164" fontId="5" fillId="10" borderId="5" xfId="0" applyNumberFormat="1" applyFont="1" applyFill="1" applyBorder="1" applyAlignment="1" applyProtection="1">
      <alignment horizontal="center"/>
      <protection hidden="1"/>
    </xf>
    <xf numFmtId="164" fontId="5" fillId="10" borderId="7" xfId="0" applyNumberFormat="1" applyFont="1" applyFill="1" applyBorder="1" applyAlignment="1" applyProtection="1">
      <alignment horizontal="center"/>
      <protection hidden="1"/>
    </xf>
    <xf numFmtId="164" fontId="5" fillId="10" borderId="3" xfId="0" applyNumberFormat="1" applyFont="1" applyFill="1" applyBorder="1" applyAlignment="1" applyProtection="1">
      <alignment horizontal="center"/>
      <protection hidden="1"/>
    </xf>
    <xf numFmtId="164" fontId="5" fillId="10" borderId="9" xfId="0" applyNumberFormat="1" applyFont="1" applyFill="1" applyBorder="1" applyAlignment="1" applyProtection="1">
      <alignment horizontal="center"/>
      <protection hidden="1"/>
    </xf>
    <xf numFmtId="0" fontId="5" fillId="10" borderId="4" xfId="0" applyFont="1" applyFill="1" applyBorder="1" applyAlignment="1" applyProtection="1">
      <alignment horizontal="center"/>
      <protection hidden="1"/>
    </xf>
    <xf numFmtId="0" fontId="0" fillId="2" borderId="0" xfId="0" applyFill="1" applyProtection="1">
      <protection hidden="1"/>
    </xf>
    <xf numFmtId="0" fontId="0" fillId="0" borderId="0" xfId="0" applyProtection="1">
      <protection hidden="1"/>
    </xf>
    <xf numFmtId="1" fontId="10" fillId="2" borderId="7" xfId="0" applyNumberFormat="1" applyFont="1" applyFill="1" applyBorder="1" applyAlignment="1" applyProtection="1">
      <alignment horizontal="center" vertical="center" shrinkToFit="1" readingOrder="2"/>
      <protection hidden="1"/>
    </xf>
    <xf numFmtId="3" fontId="10" fillId="2" borderId="6" xfId="0" applyNumberFormat="1" applyFont="1" applyFill="1" applyBorder="1" applyAlignment="1" applyProtection="1">
      <alignment horizontal="center" vertical="center" shrinkToFit="1" readingOrder="2"/>
      <protection hidden="1"/>
    </xf>
    <xf numFmtId="1" fontId="10" fillId="2" borderId="11" xfId="0" applyNumberFormat="1" applyFont="1" applyFill="1" applyBorder="1" applyAlignment="1" applyProtection="1">
      <alignment horizontal="center" vertical="center" shrinkToFit="1" readingOrder="2"/>
      <protection hidden="1"/>
    </xf>
    <xf numFmtId="3" fontId="10" fillId="2" borderId="12" xfId="0" applyNumberFormat="1" applyFont="1" applyFill="1" applyBorder="1" applyAlignment="1" applyProtection="1">
      <alignment horizontal="center" vertical="center" shrinkToFit="1" readingOrder="2"/>
      <protection hidden="1"/>
    </xf>
    <xf numFmtId="3" fontId="10" fillId="0" borderId="6" xfId="0" applyNumberFormat="1" applyFont="1" applyFill="1" applyBorder="1" applyAlignment="1" applyProtection="1">
      <alignment horizontal="center" vertical="center" shrinkToFit="1" readingOrder="2"/>
      <protection hidden="1"/>
    </xf>
    <xf numFmtId="1" fontId="10" fillId="0" borderId="7" xfId="0" applyNumberFormat="1" applyFont="1" applyFill="1" applyBorder="1" applyAlignment="1" applyProtection="1">
      <alignment horizontal="center" vertical="center" shrinkToFit="1" readingOrder="2"/>
      <protection hidden="1"/>
    </xf>
    <xf numFmtId="3" fontId="10" fillId="0" borderId="24" xfId="0" applyNumberFormat="1" applyFont="1" applyFill="1" applyBorder="1" applyAlignment="1" applyProtection="1">
      <alignment horizontal="center" vertical="center" shrinkToFit="1" readingOrder="2"/>
      <protection hidden="1"/>
    </xf>
    <xf numFmtId="1" fontId="10" fillId="0" borderId="20" xfId="0" applyNumberFormat="1" applyFont="1" applyFill="1" applyBorder="1" applyAlignment="1" applyProtection="1">
      <alignment horizontal="center" vertical="center" shrinkToFit="1" readingOrder="2"/>
      <protection hidden="1"/>
    </xf>
    <xf numFmtId="3" fontId="8" fillId="4" borderId="6" xfId="0" applyNumberFormat="1" applyFont="1" applyFill="1" applyBorder="1" applyAlignment="1" applyProtection="1">
      <alignment horizontal="center" vertical="center" shrinkToFit="1" readingOrder="2"/>
      <protection hidden="1"/>
    </xf>
    <xf numFmtId="0" fontId="0" fillId="0" borderId="0" xfId="0" applyFill="1" applyBorder="1" applyProtection="1">
      <protection hidden="1"/>
    </xf>
    <xf numFmtId="0" fontId="2" fillId="0" borderId="0" xfId="0" applyFont="1" applyProtection="1">
      <protection hidden="1"/>
    </xf>
    <xf numFmtId="0" fontId="9" fillId="5" borderId="13" xfId="0" applyFont="1" applyFill="1" applyBorder="1" applyAlignment="1" applyProtection="1">
      <alignment horizontal="center" vertical="center" shrinkToFit="1" readingOrder="2"/>
      <protection hidden="1"/>
    </xf>
    <xf numFmtId="0" fontId="22" fillId="21" borderId="18" xfId="0" applyFont="1" applyFill="1" applyBorder="1" applyAlignment="1" applyProtection="1">
      <alignment horizontal="center" vertical="center" shrinkToFit="1" readingOrder="2"/>
      <protection hidden="1"/>
    </xf>
    <xf numFmtId="0" fontId="22" fillId="21" borderId="28" xfId="0" applyFont="1" applyFill="1" applyBorder="1" applyAlignment="1" applyProtection="1">
      <alignment horizontal="center" vertical="center" shrinkToFit="1" readingOrder="2"/>
      <protection hidden="1"/>
    </xf>
    <xf numFmtId="3" fontId="10" fillId="20" borderId="6" xfId="0" applyNumberFormat="1" applyFont="1" applyFill="1" applyBorder="1" applyAlignment="1" applyProtection="1">
      <alignment horizontal="center" vertical="center" shrinkToFit="1" readingOrder="2"/>
      <protection hidden="1"/>
    </xf>
    <xf numFmtId="1" fontId="10" fillId="20" borderId="7" xfId="0" applyNumberFormat="1" applyFont="1" applyFill="1" applyBorder="1" applyAlignment="1" applyProtection="1">
      <alignment horizontal="center" vertical="center" shrinkToFit="1" readingOrder="2"/>
      <protection hidden="1"/>
    </xf>
    <xf numFmtId="3" fontId="10" fillId="20" borderId="15" xfId="0" applyNumberFormat="1" applyFont="1" applyFill="1" applyBorder="1" applyAlignment="1" applyProtection="1">
      <alignment horizontal="center" vertical="center" shrinkToFit="1" readingOrder="2"/>
      <protection hidden="1"/>
    </xf>
    <xf numFmtId="1" fontId="10" fillId="20" borderId="14" xfId="0" applyNumberFormat="1" applyFont="1" applyFill="1" applyBorder="1" applyAlignment="1" applyProtection="1">
      <alignment horizontal="center" vertical="center" shrinkToFit="1" readingOrder="2"/>
      <protection hidden="1"/>
    </xf>
    <xf numFmtId="164" fontId="9" fillId="5" borderId="15" xfId="0" applyNumberFormat="1" applyFont="1" applyFill="1" applyBorder="1" applyAlignment="1" applyProtection="1">
      <alignment horizontal="center" vertical="center" shrinkToFit="1" readingOrder="2"/>
      <protection hidden="1"/>
    </xf>
    <xf numFmtId="0" fontId="9" fillId="5" borderId="7" xfId="0" applyFont="1" applyFill="1" applyBorder="1" applyAlignment="1" applyProtection="1">
      <alignment horizontal="center" vertical="center" shrinkToFit="1" readingOrder="2"/>
      <protection hidden="1"/>
    </xf>
    <xf numFmtId="0" fontId="2" fillId="2" borderId="0" xfId="0" applyFont="1" applyFill="1" applyAlignment="1" applyProtection="1">
      <alignment horizontal="center" vertical="center" readingOrder="2"/>
      <protection hidden="1"/>
    </xf>
    <xf numFmtId="0" fontId="24" fillId="0" borderId="0" xfId="0" applyFont="1" applyAlignment="1" applyProtection="1">
      <alignment horizontal="center" vertical="center" readingOrder="2"/>
      <protection hidden="1"/>
    </xf>
    <xf numFmtId="0" fontId="2" fillId="0" borderId="0" xfId="0" applyFont="1" applyAlignment="1" applyProtection="1">
      <alignment horizontal="center" vertical="center" readingOrder="2"/>
      <protection hidden="1"/>
    </xf>
    <xf numFmtId="0" fontId="0" fillId="0" borderId="0" xfId="0" applyFont="1" applyProtection="1">
      <protection hidden="1"/>
    </xf>
    <xf numFmtId="0" fontId="2" fillId="0" borderId="0" xfId="0" applyFont="1" applyAlignment="1" applyProtection="1">
      <alignment horizontal="center" vertical="center" shrinkToFit="1" readingOrder="2"/>
      <protection hidden="1"/>
    </xf>
    <xf numFmtId="164" fontId="2" fillId="0" borderId="0" xfId="0" applyNumberFormat="1" applyFont="1" applyAlignment="1" applyProtection="1">
      <alignment horizontal="center" vertical="center" readingOrder="2"/>
      <protection hidden="1"/>
    </xf>
    <xf numFmtId="0" fontId="1" fillId="7" borderId="15" xfId="0" applyFont="1" applyFill="1" applyBorder="1" applyAlignment="1" applyProtection="1">
      <alignment horizontal="center" vertical="center" shrinkToFit="1" readingOrder="2"/>
      <protection hidden="1"/>
    </xf>
    <xf numFmtId="1" fontId="7" fillId="8" borderId="2" xfId="0" applyNumberFormat="1" applyFont="1" applyFill="1" applyBorder="1" applyAlignment="1" applyProtection="1">
      <alignment horizontal="center" vertical="center" readingOrder="2"/>
      <protection hidden="1"/>
    </xf>
    <xf numFmtId="0" fontId="1" fillId="2" borderId="0" xfId="0" applyFont="1" applyFill="1" applyAlignment="1" applyProtection="1">
      <alignment horizontal="center" vertical="center" shrinkToFit="1" readingOrder="2"/>
      <protection hidden="1"/>
    </xf>
    <xf numFmtId="0" fontId="1" fillId="7" borderId="17" xfId="0" applyFont="1" applyFill="1" applyBorder="1" applyAlignment="1" applyProtection="1">
      <alignment horizontal="center" vertical="center" shrinkToFit="1" readingOrder="2"/>
      <protection hidden="1"/>
    </xf>
    <xf numFmtId="0" fontId="1" fillId="7" borderId="21" xfId="0" applyFont="1" applyFill="1" applyBorder="1" applyAlignment="1" applyProtection="1">
      <alignment horizontal="center" vertical="center" shrinkToFit="1" readingOrder="2"/>
      <protection hidden="1"/>
    </xf>
    <xf numFmtId="1" fontId="1" fillId="8" borderId="4" xfId="0" applyNumberFormat="1" applyFont="1" applyFill="1" applyBorder="1" applyAlignment="1" applyProtection="1">
      <alignment horizontal="center" vertical="center" shrinkToFit="1" readingOrder="2"/>
      <protection hidden="1"/>
    </xf>
    <xf numFmtId="0" fontId="2" fillId="2" borderId="0" xfId="0" applyFont="1" applyFill="1" applyAlignment="1" applyProtection="1">
      <alignment vertical="center" shrinkToFit="1" readingOrder="2"/>
      <protection hidden="1"/>
    </xf>
    <xf numFmtId="1" fontId="1" fillId="2" borderId="0" xfId="0" applyNumberFormat="1" applyFont="1" applyFill="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readingOrder="2"/>
      <protection hidden="1"/>
    </xf>
    <xf numFmtId="0" fontId="1" fillId="2" borderId="0" xfId="0" applyFont="1" applyFill="1" applyBorder="1" applyAlignment="1" applyProtection="1">
      <alignment vertical="center" readingOrder="2"/>
      <protection hidden="1"/>
    </xf>
    <xf numFmtId="0" fontId="2" fillId="2" borderId="0" xfId="0" applyFont="1" applyFill="1" applyBorder="1" applyAlignment="1" applyProtection="1">
      <alignment vertical="center" readingOrder="2"/>
      <protection hidden="1"/>
    </xf>
    <xf numFmtId="3" fontId="2" fillId="2" borderId="0" xfId="0" applyNumberFormat="1" applyFont="1" applyFill="1" applyBorder="1" applyAlignment="1" applyProtection="1">
      <alignment horizontal="center" vertical="center" readingOrder="2"/>
      <protection hidden="1"/>
    </xf>
    <xf numFmtId="4" fontId="2" fillId="2" borderId="0" xfId="0" applyNumberFormat="1" applyFont="1" applyFill="1" applyAlignment="1" applyProtection="1">
      <alignment horizontal="center" vertical="center" readingOrder="2"/>
      <protection hidden="1"/>
    </xf>
    <xf numFmtId="0" fontId="1" fillId="8" borderId="37" xfId="0" applyFont="1" applyFill="1" applyBorder="1" applyAlignment="1" applyProtection="1">
      <alignment horizontal="center" vertical="center" shrinkToFit="1" readingOrder="2"/>
      <protection hidden="1"/>
    </xf>
    <xf numFmtId="0" fontId="1" fillId="8" borderId="31" xfId="0" applyFont="1" applyFill="1" applyBorder="1" applyAlignment="1" applyProtection="1">
      <alignment horizontal="center" vertical="center" shrinkToFit="1" readingOrder="2"/>
      <protection hidden="1"/>
    </xf>
    <xf numFmtId="0" fontId="1" fillId="0" borderId="0" xfId="0" applyFont="1" applyAlignment="1" applyProtection="1">
      <alignment horizontal="center" vertical="center" readingOrder="2"/>
      <protection hidden="1"/>
    </xf>
    <xf numFmtId="3" fontId="7" fillId="4" borderId="7" xfId="0" applyNumberFormat="1" applyFont="1" applyFill="1" applyBorder="1" applyAlignment="1" applyProtection="1">
      <alignment horizontal="center" vertical="center" shrinkToFit="1" readingOrder="2"/>
      <protection hidden="1"/>
    </xf>
    <xf numFmtId="3" fontId="7" fillId="4" borderId="9" xfId="0" applyNumberFormat="1" applyFont="1" applyFill="1" applyBorder="1" applyAlignment="1" applyProtection="1">
      <alignment horizontal="center" vertical="center" shrinkToFit="1" readingOrder="2"/>
      <protection hidden="1"/>
    </xf>
    <xf numFmtId="3" fontId="7" fillId="4" borderId="11" xfId="0" applyNumberFormat="1" applyFont="1" applyFill="1" applyBorder="1" applyAlignment="1" applyProtection="1">
      <alignment horizontal="center" vertical="center" shrinkToFit="1" readingOrder="2"/>
      <protection hidden="1"/>
    </xf>
    <xf numFmtId="3" fontId="10" fillId="19" borderId="14" xfId="0" applyNumberFormat="1" applyFont="1" applyFill="1" applyBorder="1" applyAlignment="1" applyProtection="1">
      <alignment horizontal="center" vertical="center" shrinkToFit="1" readingOrder="2"/>
      <protection hidden="1"/>
    </xf>
    <xf numFmtId="0" fontId="1" fillId="8" borderId="13" xfId="0" applyFont="1" applyFill="1" applyBorder="1" applyAlignment="1" applyProtection="1">
      <alignment horizontal="center" vertical="center" shrinkToFit="1" readingOrder="2"/>
      <protection hidden="1"/>
    </xf>
    <xf numFmtId="0" fontId="0" fillId="0" borderId="0" xfId="0" applyAlignment="1" applyProtection="1">
      <alignment horizontal="center" vertical="center"/>
      <protection hidden="1"/>
    </xf>
    <xf numFmtId="1" fontId="7" fillId="22" borderId="4" xfId="0" applyNumberFormat="1" applyFont="1" applyFill="1" applyBorder="1" applyAlignment="1" applyProtection="1">
      <alignment horizontal="center" vertical="center" readingOrder="2"/>
      <protection hidden="1"/>
    </xf>
    <xf numFmtId="0" fontId="1" fillId="0" borderId="7" xfId="0" applyFont="1" applyBorder="1" applyAlignment="1" applyProtection="1">
      <alignment horizontal="center" vertical="center" readingOrder="2"/>
      <protection hidden="1"/>
    </xf>
    <xf numFmtId="1" fontId="1" fillId="0" borderId="7" xfId="0" applyNumberFormat="1" applyFont="1" applyBorder="1" applyAlignment="1" applyProtection="1">
      <alignment horizontal="center" vertical="center" readingOrder="2"/>
      <protection hidden="1"/>
    </xf>
    <xf numFmtId="0" fontId="1" fillId="2" borderId="39" xfId="0" applyFont="1" applyFill="1" applyBorder="1" applyAlignment="1" applyProtection="1">
      <alignment vertical="center" shrinkToFit="1" readingOrder="2"/>
      <protection hidden="1"/>
    </xf>
    <xf numFmtId="0" fontId="2" fillId="2" borderId="0" xfId="0" applyFont="1" applyFill="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0" fillId="0" borderId="7" xfId="0"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164" fontId="0" fillId="0" borderId="7"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10" fillId="9" borderId="13" xfId="0" applyFont="1" applyFill="1" applyBorder="1" applyAlignment="1" applyProtection="1">
      <alignment horizontal="center" vertical="center" shrinkToFit="1"/>
      <protection hidden="1"/>
    </xf>
    <xf numFmtId="0" fontId="10" fillId="9" borderId="14" xfId="0" applyFont="1" applyFill="1" applyBorder="1" applyAlignment="1" applyProtection="1">
      <alignment horizontal="center" vertical="center" shrinkToFit="1"/>
      <protection hidden="1"/>
    </xf>
    <xf numFmtId="0" fontId="10" fillId="9" borderId="15" xfId="0" applyFont="1" applyFill="1" applyBorder="1" applyAlignment="1" applyProtection="1">
      <alignment horizontal="center" vertical="center" shrinkToFit="1"/>
      <protection hidden="1"/>
    </xf>
    <xf numFmtId="0" fontId="10" fillId="9" borderId="14" xfId="0" applyFont="1" applyFill="1" applyBorder="1" applyAlignment="1" applyProtection="1">
      <alignment vertical="center" shrinkToFit="1"/>
      <protection hidden="1"/>
    </xf>
    <xf numFmtId="0" fontId="0" fillId="0" borderId="1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 fontId="9" fillId="3" borderId="15" xfId="0" applyNumberFormat="1" applyFont="1" applyFill="1" applyBorder="1" applyAlignment="1" applyProtection="1">
      <alignment horizontal="center" vertical="center" shrinkToFit="1"/>
      <protection hidden="1"/>
    </xf>
    <xf numFmtId="0" fontId="0" fillId="0" borderId="26" xfId="0" applyBorder="1" applyAlignment="1" applyProtection="1">
      <alignment horizontal="center" vertical="center"/>
      <protection hidden="1"/>
    </xf>
    <xf numFmtId="164" fontId="10" fillId="3" borderId="2" xfId="0" applyNumberFormat="1" applyFont="1" applyFill="1" applyBorder="1" applyAlignment="1" applyProtection="1">
      <alignment horizontal="center" vertical="center" shrinkToFit="1" readingOrder="2"/>
      <protection hidden="1"/>
    </xf>
    <xf numFmtId="164" fontId="10" fillId="3" borderId="4" xfId="0" applyNumberFormat="1" applyFont="1" applyFill="1" applyBorder="1" applyAlignment="1" applyProtection="1">
      <alignment horizontal="center" vertical="center" shrinkToFit="1" readingOrder="2"/>
      <protection hidden="1"/>
    </xf>
    <xf numFmtId="164" fontId="10" fillId="3" borderId="6" xfId="0" applyNumberFormat="1" applyFont="1" applyFill="1" applyBorder="1" applyAlignment="1" applyProtection="1">
      <alignment horizontal="center" vertical="center" shrinkToFit="1" readingOrder="2"/>
      <protection hidden="1"/>
    </xf>
    <xf numFmtId="0" fontId="0" fillId="0" borderId="32" xfId="0" applyBorder="1" applyProtection="1">
      <protection hidden="1"/>
    </xf>
    <xf numFmtId="0" fontId="0" fillId="0" borderId="7" xfId="0" applyBorder="1" applyProtection="1">
      <protection hidden="1"/>
    </xf>
    <xf numFmtId="0" fontId="1" fillId="0" borderId="0" xfId="0" applyFont="1" applyFill="1" applyBorder="1" applyAlignment="1" applyProtection="1">
      <alignment horizontal="center" vertical="center" shrinkToFit="1"/>
      <protection hidden="1"/>
    </xf>
    <xf numFmtId="3" fontId="1" fillId="0" borderId="0" xfId="0" applyNumberFormat="1"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1" fillId="3" borderId="15" xfId="0" applyFont="1" applyFill="1" applyBorder="1" applyAlignment="1" applyProtection="1">
      <alignment horizontal="center" vertical="center"/>
      <protection hidden="1"/>
    </xf>
    <xf numFmtId="0" fontId="1" fillId="3" borderId="32"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shrinkToFit="1"/>
      <protection hidden="1"/>
    </xf>
    <xf numFmtId="3" fontId="1" fillId="17" borderId="15" xfId="0" applyNumberFormat="1" applyFont="1" applyFill="1" applyBorder="1" applyAlignment="1" applyProtection="1">
      <alignment horizontal="center" vertical="center"/>
      <protection hidden="1"/>
    </xf>
    <xf numFmtId="1" fontId="2" fillId="0" borderId="10" xfId="0" applyNumberFormat="1" applyFont="1" applyBorder="1" applyAlignment="1" applyProtection="1">
      <alignment horizontal="center" vertical="center"/>
      <protection hidden="1"/>
    </xf>
    <xf numFmtId="1" fontId="2" fillId="0" borderId="12" xfId="0" applyNumberFormat="1" applyFont="1" applyBorder="1" applyAlignment="1" applyProtection="1">
      <alignment horizontal="center" vertical="center"/>
      <protection hidden="1"/>
    </xf>
    <xf numFmtId="1" fontId="2" fillId="0" borderId="33" xfId="0" applyNumberFormat="1" applyFont="1" applyBorder="1" applyAlignment="1" applyProtection="1">
      <alignment horizontal="center" vertical="center"/>
      <protection hidden="1"/>
    </xf>
    <xf numFmtId="1" fontId="2" fillId="0" borderId="5" xfId="0" applyNumberFormat="1" applyFont="1" applyBorder="1" applyAlignment="1" applyProtection="1">
      <alignment horizontal="center" vertical="center"/>
      <protection hidden="1"/>
    </xf>
    <xf numFmtId="1" fontId="2" fillId="0" borderId="6" xfId="0" applyNumberFormat="1" applyFont="1" applyBorder="1" applyAlignment="1" applyProtection="1">
      <alignment horizontal="center" vertical="center"/>
      <protection hidden="1"/>
    </xf>
    <xf numFmtId="1" fontId="2" fillId="0" borderId="34" xfId="0" applyNumberFormat="1" applyFont="1" applyBorder="1" applyAlignment="1" applyProtection="1">
      <alignment horizontal="center" vertical="center"/>
      <protection hidden="1"/>
    </xf>
    <xf numFmtId="164" fontId="9" fillId="3" borderId="15" xfId="0" applyNumberFormat="1" applyFont="1" applyFill="1" applyBorder="1" applyAlignment="1" applyProtection="1">
      <alignment horizontal="center" vertical="center" shrinkToFit="1" readingOrder="2"/>
      <protection hidden="1"/>
    </xf>
    <xf numFmtId="1" fontId="1" fillId="6" borderId="17" xfId="0" applyNumberFormat="1" applyFont="1" applyFill="1" applyBorder="1" applyAlignment="1" applyProtection="1">
      <alignment horizontal="center" vertical="center"/>
      <protection hidden="1"/>
    </xf>
    <xf numFmtId="1" fontId="1" fillId="6" borderId="21" xfId="0" applyNumberFormat="1" applyFont="1" applyFill="1" applyBorder="1" applyAlignment="1" applyProtection="1">
      <alignment horizontal="center" vertical="center"/>
      <protection hidden="1"/>
    </xf>
    <xf numFmtId="0" fontId="5" fillId="0" borderId="31" xfId="0" applyFont="1" applyBorder="1" applyAlignment="1" applyProtection="1">
      <alignment horizontal="center"/>
      <protection hidden="1"/>
    </xf>
    <xf numFmtId="0" fontId="1" fillId="13" borderId="15" xfId="0" applyFont="1" applyFill="1" applyBorder="1" applyAlignment="1" applyProtection="1">
      <alignment horizontal="center" vertical="center"/>
      <protection hidden="1"/>
    </xf>
    <xf numFmtId="1" fontId="1" fillId="13" borderId="32" xfId="0" applyNumberFormat="1" applyFont="1" applyFill="1" applyBorder="1" applyAlignment="1" applyProtection="1">
      <alignment horizontal="center" vertical="center"/>
      <protection hidden="1"/>
    </xf>
    <xf numFmtId="1" fontId="1" fillId="3" borderId="2" xfId="0" applyNumberFormat="1" applyFont="1" applyFill="1" applyBorder="1" applyAlignment="1" applyProtection="1">
      <alignment horizontal="center" vertical="center" shrinkToFit="1" readingOrder="2"/>
      <protection hidden="1"/>
    </xf>
    <xf numFmtId="0" fontId="1" fillId="3" borderId="4" xfId="0" applyFont="1" applyFill="1" applyBorder="1" applyAlignment="1" applyProtection="1">
      <alignment horizontal="center" vertical="center" shrinkToFit="1" readingOrder="2"/>
      <protection hidden="1"/>
    </xf>
    <xf numFmtId="1" fontId="1" fillId="3" borderId="6" xfId="0" applyNumberFormat="1" applyFont="1" applyFill="1" applyBorder="1" applyAlignment="1" applyProtection="1">
      <alignment horizontal="center" vertical="center" shrinkToFit="1" readingOrder="2"/>
      <protection hidden="1"/>
    </xf>
    <xf numFmtId="3" fontId="1" fillId="3" borderId="2" xfId="0" applyNumberFormat="1" applyFont="1" applyFill="1" applyBorder="1" applyAlignment="1" applyProtection="1">
      <alignment horizontal="center" vertical="center" shrinkToFit="1" readingOrder="2"/>
      <protection hidden="1"/>
    </xf>
    <xf numFmtId="1" fontId="1" fillId="3" borderId="12" xfId="0" applyNumberFormat="1" applyFont="1" applyFill="1" applyBorder="1" applyAlignment="1" applyProtection="1">
      <alignment horizontal="center" vertical="center" shrinkToFit="1" readingOrder="2"/>
      <protection hidden="1"/>
    </xf>
    <xf numFmtId="3" fontId="1" fillId="3" borderId="4" xfId="0" applyNumberFormat="1" applyFont="1" applyFill="1" applyBorder="1" applyAlignment="1" applyProtection="1">
      <alignment horizontal="center" vertical="center" shrinkToFit="1" readingOrder="2"/>
      <protection hidden="1"/>
    </xf>
    <xf numFmtId="0" fontId="1" fillId="3" borderId="6" xfId="0" applyFont="1" applyFill="1" applyBorder="1" applyAlignment="1" applyProtection="1">
      <alignment horizontal="center" vertical="center" shrinkToFit="1" readingOrder="2"/>
      <protection hidden="1"/>
    </xf>
    <xf numFmtId="164" fontId="1" fillId="3" borderId="6" xfId="0" applyNumberFormat="1" applyFont="1" applyFill="1" applyBorder="1" applyAlignment="1" applyProtection="1">
      <alignment horizontal="center" vertical="center" shrinkToFit="1" readingOrder="2"/>
      <protection hidden="1"/>
    </xf>
    <xf numFmtId="1" fontId="1" fillId="3" borderId="4" xfId="0" applyNumberFormat="1" applyFont="1" applyFill="1" applyBorder="1" applyAlignment="1" applyProtection="1">
      <alignment horizontal="center" vertical="center" shrinkToFit="1" readingOrder="2"/>
      <protection hidden="1"/>
    </xf>
    <xf numFmtId="3" fontId="9" fillId="4" borderId="7" xfId="0" applyNumberFormat="1" applyFont="1" applyFill="1" applyBorder="1" applyAlignment="1" applyProtection="1">
      <alignment horizontal="center" vertical="center" shrinkToFit="1"/>
      <protection hidden="1"/>
    </xf>
    <xf numFmtId="1" fontId="9" fillId="4" borderId="7" xfId="0" applyNumberFormat="1" applyFont="1" applyFill="1" applyBorder="1" applyAlignment="1" applyProtection="1">
      <alignment horizontal="center" vertical="center" shrinkToFit="1"/>
      <protection hidden="1"/>
    </xf>
    <xf numFmtId="2" fontId="30" fillId="4" borderId="7" xfId="0" applyNumberFormat="1" applyFont="1" applyFill="1" applyBorder="1" applyAlignment="1" applyProtection="1">
      <alignment horizontal="center" vertical="center"/>
      <protection hidden="1"/>
    </xf>
    <xf numFmtId="2" fontId="30" fillId="0" borderId="7" xfId="0" applyNumberFormat="1" applyFont="1" applyBorder="1" applyAlignment="1" applyProtection="1">
      <alignment horizontal="center" vertical="center"/>
      <protection hidden="1"/>
    </xf>
    <xf numFmtId="3" fontId="10" fillId="0" borderId="7" xfId="0" applyNumberFormat="1" applyFont="1" applyFill="1" applyBorder="1" applyAlignment="1" applyProtection="1">
      <alignment horizontal="center" vertical="center" shrinkToFit="1" readingOrder="2"/>
      <protection hidden="1"/>
    </xf>
    <xf numFmtId="0" fontId="0" fillId="0" borderId="0" xfId="0" applyFill="1" applyProtection="1">
      <protection hidden="1"/>
    </xf>
    <xf numFmtId="0" fontId="1" fillId="0" borderId="0" xfId="0" applyFont="1" applyFill="1" applyAlignment="1" applyProtection="1">
      <alignment horizontal="center" vertical="center" readingOrder="2"/>
      <protection hidden="1"/>
    </xf>
    <xf numFmtId="1" fontId="1" fillId="0" borderId="0" xfId="0" applyNumberFormat="1" applyFont="1" applyFill="1" applyAlignment="1" applyProtection="1">
      <alignment horizontal="center" vertical="center" readingOrder="2"/>
      <protection hidden="1"/>
    </xf>
    <xf numFmtId="1" fontId="7" fillId="3" borderId="2" xfId="0" applyNumberFormat="1" applyFont="1" applyFill="1" applyBorder="1" applyAlignment="1" applyProtection="1">
      <alignment horizontal="center" vertical="center" readingOrder="2"/>
      <protection hidden="1"/>
    </xf>
    <xf numFmtId="3" fontId="10" fillId="0" borderId="7" xfId="0" applyNumberFormat="1" applyFont="1" applyBorder="1" applyAlignment="1" applyProtection="1">
      <alignment horizontal="center" vertical="center" readingOrder="2"/>
      <protection hidden="1"/>
    </xf>
    <xf numFmtId="0" fontId="2" fillId="0" borderId="0" xfId="0" applyFont="1" applyFill="1" applyProtection="1">
      <protection hidden="1"/>
    </xf>
    <xf numFmtId="0" fontId="3" fillId="0" borderId="0" xfId="0" applyFont="1" applyFill="1" applyAlignment="1" applyProtection="1">
      <alignment shrinkToFit="1"/>
      <protection hidden="1"/>
    </xf>
    <xf numFmtId="0" fontId="2" fillId="0" borderId="0" xfId="0" applyFont="1" applyFill="1" applyAlignment="1" applyProtection="1">
      <alignment shrinkToFit="1"/>
      <protection hidden="1"/>
    </xf>
    <xf numFmtId="0" fontId="18" fillId="0" borderId="0" xfId="0" applyFont="1" applyFill="1" applyBorder="1" applyAlignment="1" applyProtection="1">
      <alignment vertical="center"/>
      <protection hidden="1"/>
    </xf>
    <xf numFmtId="0" fontId="19" fillId="0" borderId="0" xfId="1" applyFont="1" applyFill="1" applyBorder="1" applyAlignment="1" applyProtection="1">
      <alignment vertical="center"/>
      <protection hidden="1"/>
    </xf>
    <xf numFmtId="0" fontId="0" fillId="0" borderId="0" xfId="0" applyFill="1" applyAlignment="1" applyProtection="1">
      <alignment shrinkToFit="1"/>
      <protection hidden="1"/>
    </xf>
    <xf numFmtId="0" fontId="3" fillId="21" borderId="7" xfId="0" applyFont="1" applyFill="1" applyBorder="1" applyAlignment="1" applyProtection="1">
      <alignment horizontal="center" vertical="center" shrinkToFit="1" readingOrder="2"/>
      <protection hidden="1"/>
    </xf>
    <xf numFmtId="3" fontId="10" fillId="0" borderId="7" xfId="0" applyNumberFormat="1" applyFont="1" applyFill="1" applyBorder="1" applyAlignment="1" applyProtection="1">
      <alignment horizontal="center" vertical="center" shrinkToFit="1" readingOrder="1"/>
      <protection hidden="1"/>
    </xf>
    <xf numFmtId="1" fontId="1" fillId="10" borderId="7" xfId="0" applyNumberFormat="1" applyFont="1" applyFill="1" applyBorder="1" applyAlignment="1" applyProtection="1">
      <alignment horizontal="center" vertical="center" shrinkToFit="1" readingOrder="2"/>
      <protection locked="0" hidden="1"/>
    </xf>
    <xf numFmtId="164" fontId="1" fillId="10" borderId="7" xfId="0" applyNumberFormat="1" applyFont="1" applyFill="1" applyBorder="1" applyAlignment="1" applyProtection="1">
      <alignment horizontal="center" vertical="center" shrinkToFit="1" readingOrder="2"/>
      <protection locked="0" hidden="1"/>
    </xf>
    <xf numFmtId="0" fontId="32" fillId="3" borderId="7" xfId="0" applyFont="1" applyFill="1" applyBorder="1" applyAlignment="1" applyProtection="1">
      <alignment horizontal="center" vertical="center"/>
      <protection hidden="1"/>
    </xf>
    <xf numFmtId="0" fontId="24" fillId="7" borderId="7" xfId="0" applyFont="1" applyFill="1" applyBorder="1" applyAlignment="1" applyProtection="1">
      <alignment horizontal="center" vertical="center" shrinkToFit="1" readingOrder="2"/>
      <protection hidden="1"/>
    </xf>
    <xf numFmtId="1" fontId="31" fillId="5" borderId="7" xfId="0" applyNumberFormat="1" applyFont="1" applyFill="1" applyBorder="1" applyAlignment="1" applyProtection="1">
      <alignment horizontal="center" vertical="center" shrinkToFit="1" readingOrder="2"/>
      <protection hidden="1"/>
    </xf>
    <xf numFmtId="0" fontId="35" fillId="0" borderId="7" xfId="0" applyFont="1" applyBorder="1" applyAlignment="1">
      <alignment horizontal="center" vertical="center" wrapText="1" readingOrder="2"/>
    </xf>
    <xf numFmtId="0" fontId="36" fillId="0" borderId="7" xfId="0" applyFont="1" applyBorder="1" applyAlignment="1">
      <alignment horizontal="center" vertical="center" wrapText="1" readingOrder="2"/>
    </xf>
    <xf numFmtId="3" fontId="9" fillId="8" borderId="41" xfId="0" applyNumberFormat="1" applyFont="1" applyFill="1" applyBorder="1" applyAlignment="1" applyProtection="1">
      <alignment horizontal="center" vertical="center" shrinkToFit="1" readingOrder="2"/>
      <protection hidden="1"/>
    </xf>
    <xf numFmtId="3" fontId="9" fillId="21" borderId="7" xfId="0" applyNumberFormat="1" applyFont="1" applyFill="1" applyBorder="1" applyAlignment="1" applyProtection="1">
      <alignment horizontal="center" vertical="center" shrinkToFit="1" readingOrder="2"/>
      <protection hidden="1"/>
    </xf>
    <xf numFmtId="1" fontId="0" fillId="0" borderId="0" xfId="0" applyNumberFormat="1" applyAlignment="1" applyProtection="1">
      <alignment horizontal="center" vertical="center"/>
      <protection hidden="1"/>
    </xf>
    <xf numFmtId="1" fontId="1" fillId="0" borderId="7" xfId="0" applyNumberFormat="1" applyFont="1" applyBorder="1" applyAlignment="1" applyProtection="1">
      <alignment horizontal="center" vertical="center"/>
      <protection hidden="1"/>
    </xf>
    <xf numFmtId="0" fontId="3" fillId="7" borderId="7" xfId="0" applyFont="1" applyFill="1" applyBorder="1" applyAlignment="1" applyProtection="1">
      <alignment horizontal="center" vertical="center" shrinkToFit="1" readingOrder="2"/>
      <protection hidden="1"/>
    </xf>
    <xf numFmtId="3" fontId="9" fillId="3" borderId="7" xfId="0" applyNumberFormat="1" applyFont="1" applyFill="1" applyBorder="1" applyAlignment="1" applyProtection="1">
      <alignment horizontal="center" vertical="center" shrinkToFit="1"/>
      <protection locked="0" hidden="1"/>
    </xf>
    <xf numFmtId="0" fontId="38" fillId="0" borderId="7" xfId="0" applyFont="1" applyBorder="1" applyAlignment="1">
      <alignment horizontal="center" vertical="center"/>
    </xf>
    <xf numFmtId="0" fontId="38" fillId="0" borderId="0" xfId="0" applyFont="1"/>
    <xf numFmtId="0" fontId="38" fillId="7" borderId="7" xfId="0" applyFont="1" applyFill="1" applyBorder="1" applyAlignment="1">
      <alignment horizontal="center" vertical="center"/>
    </xf>
    <xf numFmtId="0" fontId="38" fillId="3" borderId="7" xfId="0" applyFont="1" applyFill="1" applyBorder="1" applyAlignment="1">
      <alignment horizontal="center" vertical="center"/>
    </xf>
    <xf numFmtId="0" fontId="9" fillId="3" borderId="7" xfId="0" applyNumberFormat="1" applyFont="1" applyFill="1" applyBorder="1" applyAlignment="1" applyProtection="1">
      <alignment horizontal="center" vertical="center" shrinkToFit="1"/>
      <protection locked="0" hidden="1"/>
    </xf>
    <xf numFmtId="0" fontId="10" fillId="21" borderId="7" xfId="0" applyFont="1" applyFill="1" applyBorder="1" applyAlignment="1" applyProtection="1">
      <alignment horizontal="center" vertical="center" shrinkToFit="1" readingOrder="2"/>
      <protection hidden="1"/>
    </xf>
    <xf numFmtId="0" fontId="16" fillId="0" borderId="0" xfId="0" applyFont="1" applyFill="1" applyAlignment="1" applyProtection="1">
      <alignment vertical="center" shrinkToFit="1"/>
      <protection hidden="1"/>
    </xf>
    <xf numFmtId="0" fontId="20" fillId="0" borderId="0" xfId="0" applyFont="1" applyFill="1" applyAlignment="1" applyProtection="1">
      <alignment vertical="center" shrinkToFit="1"/>
      <protection hidden="1"/>
    </xf>
    <xf numFmtId="0" fontId="3" fillId="0" borderId="0" xfId="0" applyFont="1" applyFill="1" applyProtection="1">
      <protection hidden="1"/>
    </xf>
    <xf numFmtId="0" fontId="21" fillId="0" borderId="42" xfId="0" applyFont="1" applyFill="1" applyBorder="1" applyAlignment="1" applyProtection="1">
      <alignment vertical="center" shrinkToFit="1"/>
      <protection hidden="1"/>
    </xf>
    <xf numFmtId="3" fontId="9" fillId="10" borderId="7" xfId="0" applyNumberFormat="1" applyFont="1" applyFill="1" applyBorder="1" applyAlignment="1" applyProtection="1">
      <alignment horizontal="center" vertical="center" shrinkToFit="1"/>
      <protection hidden="1"/>
    </xf>
    <xf numFmtId="0" fontId="38" fillId="23" borderId="7" xfId="0" applyFont="1" applyFill="1" applyBorder="1" applyAlignment="1">
      <alignment horizontal="center" vertical="center"/>
    </xf>
    <xf numFmtId="0" fontId="21" fillId="0" borderId="0" xfId="0" applyFont="1" applyFill="1" applyBorder="1" applyAlignment="1" applyProtection="1">
      <alignment horizontal="center" vertical="center" shrinkToFit="1"/>
      <protection hidden="1"/>
    </xf>
    <xf numFmtId="0" fontId="0" fillId="0" borderId="0" xfId="0" applyFill="1" applyProtection="1">
      <protection locked="0" hidden="1"/>
    </xf>
    <xf numFmtId="0" fontId="10" fillId="0" borderId="42" xfId="0" applyFont="1" applyBorder="1" applyAlignment="1" applyProtection="1">
      <alignment horizontal="center"/>
      <protection hidden="1"/>
    </xf>
    <xf numFmtId="0" fontId="34" fillId="17" borderId="44" xfId="0" applyFont="1" applyFill="1" applyBorder="1" applyAlignment="1" applyProtection="1">
      <alignment horizontal="center" vertical="center" shrinkToFit="1"/>
      <protection hidden="1"/>
    </xf>
    <xf numFmtId="0" fontId="34" fillId="17" borderId="45" xfId="0" applyFont="1" applyFill="1" applyBorder="1" applyAlignment="1" applyProtection="1">
      <alignment horizontal="center" vertical="center" shrinkToFit="1"/>
      <protection hidden="1"/>
    </xf>
    <xf numFmtId="0" fontId="40" fillId="0" borderId="0" xfId="0" applyFont="1" applyFill="1" applyAlignment="1" applyProtection="1">
      <alignment horizontal="center" shrinkToFit="1"/>
      <protection hidden="1"/>
    </xf>
    <xf numFmtId="0" fontId="41" fillId="0" borderId="0" xfId="0" applyFont="1" applyFill="1" applyAlignment="1" applyProtection="1">
      <alignment horizontal="center" vertical="center" wrapText="1" shrinkToFit="1"/>
      <protection hidden="1"/>
    </xf>
    <xf numFmtId="0" fontId="42" fillId="0" borderId="42" xfId="0" applyFont="1" applyFill="1" applyBorder="1" applyAlignment="1" applyProtection="1">
      <alignment horizontal="center" vertical="center" shrinkToFit="1"/>
      <protection hidden="1"/>
    </xf>
    <xf numFmtId="0" fontId="34" fillId="10" borderId="40" xfId="0" applyFont="1" applyFill="1" applyBorder="1" applyAlignment="1" applyProtection="1">
      <alignment horizontal="center" vertical="center" shrinkToFit="1"/>
      <protection hidden="1"/>
    </xf>
    <xf numFmtId="0" fontId="34" fillId="20" borderId="40" xfId="0" applyFont="1" applyFill="1" applyBorder="1" applyAlignment="1" applyProtection="1">
      <alignment horizontal="center" vertical="center" shrinkToFit="1"/>
      <protection hidden="1"/>
    </xf>
    <xf numFmtId="0" fontId="37" fillId="0" borderId="0" xfId="0" applyFont="1" applyFill="1" applyBorder="1" applyAlignment="1" applyProtection="1">
      <alignment horizontal="center" shrinkToFit="1"/>
      <protection hidden="1"/>
    </xf>
    <xf numFmtId="0" fontId="39" fillId="0" borderId="0" xfId="0" applyFont="1" applyAlignment="1" applyProtection="1">
      <alignment horizontal="center" vertical="center" shrinkToFit="1"/>
      <protection hidden="1"/>
    </xf>
    <xf numFmtId="0" fontId="39" fillId="0" borderId="43" xfId="0" applyFont="1" applyBorder="1" applyAlignment="1" applyProtection="1">
      <alignment horizontal="center" vertical="center" shrinkToFit="1"/>
      <protection hidden="1"/>
    </xf>
    <xf numFmtId="0" fontId="15" fillId="14" borderId="0" xfId="0" applyFont="1" applyFill="1" applyBorder="1" applyAlignment="1" applyProtection="1">
      <alignment horizontal="center" shrinkToFit="1"/>
      <protection hidden="1"/>
    </xf>
    <xf numFmtId="0" fontId="15" fillId="14" borderId="0" xfId="0" applyFont="1" applyFill="1" applyBorder="1" applyAlignment="1" applyProtection="1">
      <alignment horizontal="center" wrapText="1" shrinkToFit="1"/>
      <protection hidden="1"/>
    </xf>
    <xf numFmtId="0" fontId="15" fillId="14" borderId="36" xfId="0" applyFont="1" applyFill="1" applyBorder="1" applyAlignment="1" applyProtection="1">
      <alignment horizontal="center" wrapText="1"/>
      <protection hidden="1"/>
    </xf>
    <xf numFmtId="0" fontId="15" fillId="14" borderId="35" xfId="0" applyFont="1" applyFill="1" applyBorder="1" applyAlignment="1" applyProtection="1">
      <alignment horizontal="center" wrapText="1"/>
      <protection hidden="1"/>
    </xf>
    <xf numFmtId="0" fontId="17" fillId="18" borderId="37" xfId="0" applyFont="1" applyFill="1" applyBorder="1" applyAlignment="1" applyProtection="1">
      <alignment horizontal="center" vertical="center" shrinkToFit="1"/>
      <protection hidden="1"/>
    </xf>
    <xf numFmtId="0" fontId="17" fillId="18" borderId="38" xfId="0" applyFont="1" applyFill="1" applyBorder="1" applyAlignment="1" applyProtection="1">
      <alignment horizontal="center" vertical="center" shrinkToFit="1"/>
      <protection hidden="1"/>
    </xf>
    <xf numFmtId="0" fontId="1" fillId="3" borderId="7" xfId="0" applyFont="1" applyFill="1" applyBorder="1" applyAlignment="1" applyProtection="1">
      <alignment horizontal="center" vertical="center" shrinkToFit="1"/>
      <protection hidden="1"/>
    </xf>
    <xf numFmtId="0" fontId="22" fillId="21" borderId="1" xfId="0" applyFont="1" applyFill="1" applyBorder="1" applyAlignment="1" applyProtection="1">
      <alignment horizontal="center" vertical="center" wrapText="1" shrinkToFit="1"/>
      <protection hidden="1"/>
    </xf>
    <xf numFmtId="0" fontId="22" fillId="21" borderId="2" xfId="0" applyFont="1" applyFill="1" applyBorder="1" applyAlignment="1" applyProtection="1">
      <alignment horizontal="center" vertical="center" shrinkToFit="1"/>
      <protection hidden="1"/>
    </xf>
    <xf numFmtId="0" fontId="5" fillId="11" borderId="13" xfId="0" applyFont="1" applyFill="1" applyBorder="1" applyAlignment="1" applyProtection="1">
      <alignment horizontal="center"/>
      <protection hidden="1"/>
    </xf>
    <xf numFmtId="0" fontId="5" fillId="11" borderId="14" xfId="0" applyFont="1" applyFill="1" applyBorder="1" applyAlignment="1" applyProtection="1">
      <alignment horizontal="center"/>
      <protection hidden="1"/>
    </xf>
    <xf numFmtId="0" fontId="5" fillId="13" borderId="13" xfId="0" applyFont="1" applyFill="1" applyBorder="1" applyAlignment="1" applyProtection="1">
      <alignment horizontal="center"/>
      <protection hidden="1"/>
    </xf>
    <xf numFmtId="0" fontId="5" fillId="13" borderId="14" xfId="0" applyFont="1" applyFill="1" applyBorder="1" applyAlignment="1" applyProtection="1">
      <alignment horizontal="center"/>
      <protection hidden="1"/>
    </xf>
    <xf numFmtId="0" fontId="5" fillId="7" borderId="1" xfId="0" applyFont="1" applyFill="1" applyBorder="1" applyAlignment="1" applyProtection="1">
      <alignment horizontal="center"/>
      <protection hidden="1"/>
    </xf>
    <xf numFmtId="0" fontId="5" fillId="7" borderId="8"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5" fillId="3" borderId="22" xfId="0" applyFont="1" applyFill="1" applyBorder="1" applyAlignment="1" applyProtection="1">
      <alignment horizontal="center"/>
      <protection hidden="1"/>
    </xf>
    <xf numFmtId="0" fontId="5" fillId="3" borderId="25" xfId="0" applyFont="1" applyFill="1" applyBorder="1" applyAlignment="1" applyProtection="1">
      <alignment horizont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1" fillId="8" borderId="10" xfId="0" applyFont="1" applyFill="1" applyBorder="1" applyAlignment="1" applyProtection="1">
      <alignment horizontal="center" vertical="center" shrinkToFit="1" readingOrder="2"/>
      <protection hidden="1"/>
    </xf>
    <xf numFmtId="0" fontId="1" fillId="8" borderId="11" xfId="0" applyFont="1" applyFill="1" applyBorder="1" applyAlignment="1" applyProtection="1">
      <alignment horizontal="center" vertical="center" shrinkToFit="1" readingOrder="2"/>
      <protection hidden="1"/>
    </xf>
    <xf numFmtId="0" fontId="23" fillId="2" borderId="0" xfId="0" applyFont="1" applyFill="1" applyAlignment="1" applyProtection="1">
      <alignment horizontal="center" readingOrder="2"/>
      <protection hidden="1"/>
    </xf>
    <xf numFmtId="0" fontId="25" fillId="2" borderId="0" xfId="0" applyFont="1" applyFill="1" applyAlignment="1" applyProtection="1">
      <alignment horizontal="center" vertical="center" readingOrder="2"/>
      <protection hidden="1"/>
    </xf>
    <xf numFmtId="0" fontId="7" fillId="2" borderId="0" xfId="0" applyFont="1" applyFill="1" applyAlignment="1" applyProtection="1">
      <alignment horizontal="center" vertical="center" readingOrder="2"/>
      <protection hidden="1"/>
    </xf>
    <xf numFmtId="0" fontId="1" fillId="7" borderId="13" xfId="0" applyFont="1" applyFill="1" applyBorder="1" applyAlignment="1" applyProtection="1">
      <alignment horizontal="center" vertical="center" shrinkToFit="1" readingOrder="2"/>
      <protection hidden="1"/>
    </xf>
    <xf numFmtId="0" fontId="1" fillId="7" borderId="14" xfId="0" applyFont="1" applyFill="1" applyBorder="1" applyAlignment="1" applyProtection="1">
      <alignment horizontal="center" vertical="center" shrinkToFit="1" readingOrder="2"/>
      <protection hidden="1"/>
    </xf>
    <xf numFmtId="0" fontId="1" fillId="6" borderId="17" xfId="0" applyFont="1" applyFill="1" applyBorder="1" applyAlignment="1" applyProtection="1">
      <alignment horizontal="center" vertical="center" shrinkToFit="1" readingOrder="2"/>
      <protection hidden="1"/>
    </xf>
    <xf numFmtId="0" fontId="1" fillId="6" borderId="16" xfId="0" applyFont="1" applyFill="1" applyBorder="1" applyAlignment="1" applyProtection="1">
      <alignment horizontal="center" vertical="center" shrinkToFit="1" readingOrder="2"/>
      <protection hidden="1"/>
    </xf>
    <xf numFmtId="0" fontId="1" fillId="6" borderId="18" xfId="0" applyFont="1" applyFill="1" applyBorder="1" applyAlignment="1" applyProtection="1">
      <alignment horizontal="center" vertical="center"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33" fillId="0" borderId="0" xfId="0" applyFont="1" applyFill="1" applyBorder="1" applyAlignment="1" applyProtection="1">
      <alignment horizontal="center" shrinkToFit="1"/>
      <protection hidden="1"/>
    </xf>
    <xf numFmtId="0" fontId="6" fillId="2" borderId="0" xfId="1" applyFill="1" applyBorder="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shrinkToFit="1" readingOrder="2"/>
      <protection hidden="1"/>
    </xf>
    <xf numFmtId="0" fontId="4" fillId="2" borderId="0" xfId="0" applyFont="1" applyFill="1" applyBorder="1" applyAlignment="1" applyProtection="1">
      <alignment horizontal="center" vertical="center" shrinkToFit="1" readingOrder="2"/>
      <protection hidden="1"/>
    </xf>
    <xf numFmtId="0" fontId="28" fillId="2" borderId="0" xfId="0" applyFont="1" applyFill="1" applyBorder="1" applyAlignment="1" applyProtection="1">
      <alignment horizontal="center" vertical="center" shrinkToFit="1" readingOrder="2"/>
      <protection hidden="1"/>
    </xf>
    <xf numFmtId="0" fontId="29" fillId="2" borderId="0" xfId="0" applyFont="1" applyFill="1" applyBorder="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2" fontId="27" fillId="2" borderId="0" xfId="1" applyNumberFormat="1" applyFont="1" applyFill="1" applyBorder="1" applyAlignment="1" applyProtection="1">
      <alignment horizontal="center" wrapText="1" shrinkToFit="1" readingOrder="2"/>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4">
  <dgm:title val=""/>
  <dgm:desc val=""/>
  <dgm:catLst>
    <dgm:cat type="accent1" pri="11400"/>
  </dgm:catLst>
  <dgm:styleLbl name="node0">
    <dgm:fillClrLst meth="cycle">
      <a:schemeClr val="accent1">
        <a:shade val="60000"/>
      </a:schemeClr>
    </dgm:fillClrLst>
    <dgm:linClrLst meth="repeat">
      <a:schemeClr val="lt1"/>
    </dgm:linClrLst>
    <dgm:effectClrLst/>
    <dgm:txLinClrLst/>
    <dgm:txFillClrLst/>
    <dgm:txEffectClrLst/>
  </dgm:styleLbl>
  <dgm:styleLbl name="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alignNode1">
    <dgm:fillClrLst meth="cycle">
      <a:schemeClr val="accent1">
        <a:shade val="50000"/>
      </a:schemeClr>
      <a:schemeClr val="accent1">
        <a:tint val="55000"/>
      </a:schemeClr>
    </dgm:fillClrLst>
    <dgm:linClrLst meth="cycle">
      <a:schemeClr val="accent1">
        <a:shade val="50000"/>
      </a:schemeClr>
      <a:schemeClr val="accent1">
        <a:tint val="55000"/>
      </a:schemeClr>
    </dgm:linClrLst>
    <dgm:effectClrLst/>
    <dgm:txLinClrLst/>
    <dgm:txFillClrLst/>
    <dgm:txEffectClrLst/>
  </dgm:styleLbl>
  <dgm:styleLbl name="ln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vennNode1">
    <dgm:fillClrLst meth="cycle">
      <a:schemeClr val="accent1">
        <a:shade val="80000"/>
        <a:alpha val="50000"/>
      </a:schemeClr>
      <a:schemeClr val="accent1">
        <a:tint val="50000"/>
        <a:alpha val="50000"/>
      </a:schemeClr>
    </dgm:fillClrLst>
    <dgm:linClrLst meth="repeat">
      <a:schemeClr val="lt1"/>
    </dgm:linClrLst>
    <dgm:effectClrLst/>
    <dgm:txLinClrLst/>
    <dgm:txFillClrLst/>
    <dgm:txEffectClrLst/>
  </dgm:styleLbl>
  <dgm:styleLbl name="node2">
    <dgm:fillClrLst>
      <a:schemeClr val="accent1">
        <a:shade val="80000"/>
      </a:schemeClr>
    </dgm:fillClrLst>
    <dgm:linClrLst meth="repeat">
      <a:schemeClr val="lt1"/>
    </dgm:linClrLst>
    <dgm:effectClrLst/>
    <dgm:txLinClrLst/>
    <dgm:txFillClrLst/>
    <dgm:txEffectClrLst/>
  </dgm:styleLbl>
  <dgm:styleLbl name="node3">
    <dgm:fillClrLst>
      <a:schemeClr val="accent1">
        <a:tint val="99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f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b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sibTrans1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0000"/>
      </a:schemeClr>
    </dgm:fillClrLst>
    <dgm:linClrLst meth="repeat">
      <a:schemeClr val="lt1"/>
    </dgm:linClrLst>
    <dgm:effectClrLst/>
    <dgm:txLinClrLst/>
    <dgm:txFillClrLst/>
    <dgm:txEffectClrLst/>
  </dgm:styleLbl>
  <dgm:styleLbl name="asst3">
    <dgm:fillClrLst>
      <a:schemeClr val="accent1">
        <a:tint val="70000"/>
      </a:schemeClr>
    </dgm:fillClrLst>
    <dgm:linClrLst meth="repeat">
      <a:schemeClr val="lt1"/>
    </dgm:linClrLst>
    <dgm:effectClrLst/>
    <dgm:txLinClrLst/>
    <dgm:txFillClrLst/>
    <dgm:txEffectClrLst/>
  </dgm:styleLbl>
  <dgm:styleLbl name="asst4">
    <dgm:fillClrLst>
      <a:schemeClr val="accent1">
        <a:tint val="5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align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bgAccFollowNode1">
    <dgm:fillClrLst meth="repeat">
      <a:schemeClr val="accent1">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55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1D2449C-A02F-4398-9D4F-EA9126A2C92C}" type="doc">
      <dgm:prSet loTypeId="urn:microsoft.com/office/officeart/2005/8/layout/vList6" loCatId="process" qsTypeId="urn:microsoft.com/office/officeart/2005/8/quickstyle/simple1" qsCatId="simple" csTypeId="urn:microsoft.com/office/officeart/2005/8/colors/accent1_4" csCatId="accent1" phldr="1"/>
      <dgm:spPr/>
      <dgm:t>
        <a:bodyPr/>
        <a:lstStyle/>
        <a:p>
          <a:pPr rtl="1"/>
          <a:endParaRPr lang="fa-IR"/>
        </a:p>
      </dgm:t>
    </dgm:pt>
    <dgm:pt modelId="{C6D26149-1E6E-4FDC-8632-ADDA5955A143}">
      <dgm:prSet phldrT="[Text]" custT="1"/>
      <dgm:spPr/>
      <dgm:t>
        <a:bodyPr/>
        <a:lstStyle/>
        <a:p>
          <a:pPr rtl="1"/>
          <a:r>
            <a:rPr lang="fa-IR" sz="2800">
              <a:cs typeface="B Mitra" panose="00000400000000000000" pitchFamily="2" charset="-78"/>
            </a:rPr>
            <a:t>بخش اول</a:t>
          </a:r>
        </a:p>
        <a:p>
          <a:pPr rtl="1"/>
          <a:r>
            <a:rPr lang="fa-IR" sz="1800">
              <a:cs typeface="B Mitra" panose="00000400000000000000" pitchFamily="2" charset="-78"/>
            </a:rPr>
            <a:t>معلمان دارای رتبه</a:t>
          </a:r>
        </a:p>
        <a:p>
          <a:pPr rtl="1"/>
          <a:r>
            <a:rPr lang="fa-IR" sz="1800">
              <a:solidFill>
                <a:sysClr val="windowText" lastClr="000000"/>
              </a:solidFill>
              <a:cs typeface="B Mitra" panose="00000400000000000000" pitchFamily="2" charset="-78"/>
            </a:rPr>
            <a:t>(1 تا 5)</a:t>
          </a:r>
        </a:p>
      </dgm:t>
    </dgm:pt>
    <dgm:pt modelId="{A438967F-58E7-4E8A-92F5-96A11C3B9744}" type="parTrans" cxnId="{592DEA85-B28D-4008-866F-65A89FCCEA6A}">
      <dgm:prSet/>
      <dgm:spPr/>
      <dgm:t>
        <a:bodyPr/>
        <a:lstStyle/>
        <a:p>
          <a:pPr rtl="1"/>
          <a:endParaRPr lang="fa-IR">
            <a:cs typeface="B Mitra" panose="00000400000000000000" pitchFamily="2" charset="-78"/>
          </a:endParaRPr>
        </a:p>
      </dgm:t>
    </dgm:pt>
    <dgm:pt modelId="{8D57554D-CBDA-4C87-9148-1BC5C7DE2FC5}" type="sibTrans" cxnId="{592DEA85-B28D-4008-866F-65A89FCCEA6A}">
      <dgm:prSet/>
      <dgm:spPr/>
      <dgm:t>
        <a:bodyPr/>
        <a:lstStyle/>
        <a:p>
          <a:pPr rtl="1"/>
          <a:endParaRPr lang="fa-IR">
            <a:cs typeface="B Mitra" panose="00000400000000000000" pitchFamily="2" charset="-78"/>
          </a:endParaRPr>
        </a:p>
      </dgm:t>
    </dgm:pt>
    <dgm:pt modelId="{05801472-C559-4EB9-A953-329CFE6F529B}">
      <dgm:prSet phldrT="[Text]" custT="1"/>
      <dgm:spPr/>
      <dgm:t>
        <a:bodyPr anchor="ctr"/>
        <a:lstStyle/>
        <a:p>
          <a:pPr algn="r" rtl="1"/>
          <a:r>
            <a:rPr lang="fa-IR" sz="1200">
              <a:cs typeface="B Mitra" panose="00000400000000000000" pitchFamily="2" charset="-78"/>
            </a:rPr>
            <a:t>سپس رتبه خود را در محل مربوطه ثبت نمایید.  (1 تا 5)</a:t>
          </a:r>
        </a:p>
      </dgm:t>
    </dgm:pt>
    <dgm:pt modelId="{F1AFDFB4-3B56-4902-A74D-781DF9728D14}" type="parTrans" cxnId="{10985C30-2596-4FE6-AFF3-026FE75253B9}">
      <dgm:prSet/>
      <dgm:spPr/>
      <dgm:t>
        <a:bodyPr/>
        <a:lstStyle/>
        <a:p>
          <a:pPr rtl="1"/>
          <a:endParaRPr lang="fa-IR">
            <a:cs typeface="B Mitra" panose="00000400000000000000" pitchFamily="2" charset="-78"/>
          </a:endParaRPr>
        </a:p>
      </dgm:t>
    </dgm:pt>
    <dgm:pt modelId="{D119EF49-ABE8-4F91-8376-8AE6D8BCBF60}" type="sibTrans" cxnId="{10985C30-2596-4FE6-AFF3-026FE75253B9}">
      <dgm:prSet/>
      <dgm:spPr/>
      <dgm:t>
        <a:bodyPr/>
        <a:lstStyle/>
        <a:p>
          <a:pPr rtl="1"/>
          <a:endParaRPr lang="fa-IR">
            <a:cs typeface="B Mitra" panose="00000400000000000000" pitchFamily="2" charset="-78"/>
          </a:endParaRPr>
        </a:p>
      </dgm:t>
    </dgm:pt>
    <dgm:pt modelId="{911A6A41-703E-4F21-82A9-F68BA6B838FD}">
      <dgm:prSet phldrT="[Text]" custT="1"/>
      <dgm:spPr/>
      <dgm:t>
        <a:bodyPr anchor="ctr"/>
        <a:lstStyle/>
        <a:p>
          <a:pPr algn="just" rtl="1"/>
          <a:r>
            <a:rPr lang="fa-IR" sz="1200">
              <a:cs typeface="B Mitra" panose="00000400000000000000" pitchFamily="2" charset="-78"/>
            </a:rPr>
            <a:t>در انتها، رقم ریالی فوق العاده ویژه آخرین حکم کارگزینی خود را وارد نمایید.</a:t>
          </a:r>
        </a:p>
      </dgm:t>
    </dgm:pt>
    <dgm:pt modelId="{33BA2D9A-72DE-41A7-931A-D8D47F675D85}" type="parTrans" cxnId="{235D1767-630F-42BD-8E38-1ADC868B4903}">
      <dgm:prSet/>
      <dgm:spPr/>
      <dgm:t>
        <a:bodyPr/>
        <a:lstStyle/>
        <a:p>
          <a:pPr rtl="1"/>
          <a:endParaRPr lang="fa-IR"/>
        </a:p>
      </dgm:t>
    </dgm:pt>
    <dgm:pt modelId="{70B195DB-79D3-4484-A5CC-3115CC00CA02}" type="sibTrans" cxnId="{235D1767-630F-42BD-8E38-1ADC868B4903}">
      <dgm:prSet/>
      <dgm:spPr/>
      <dgm:t>
        <a:bodyPr/>
        <a:lstStyle/>
        <a:p>
          <a:pPr rtl="1"/>
          <a:endParaRPr lang="fa-IR"/>
        </a:p>
      </dgm:t>
    </dgm:pt>
    <dgm:pt modelId="{068FF9DA-24DA-47C0-A5C1-5609370631FE}">
      <dgm:prSet phldrT="[Text]" custT="1"/>
      <dgm:spPr/>
      <dgm:t>
        <a:bodyPr anchor="ctr"/>
        <a:lstStyle/>
        <a:p>
          <a:pPr algn="r" rtl="1"/>
          <a:r>
            <a:rPr lang="fa-IR" sz="1200">
              <a:cs typeface="B Mitra" panose="00000400000000000000" pitchFamily="2" charset="-78"/>
            </a:rPr>
            <a:t>در ادامه مقطع تدریس خود را مشخص نمایید.</a:t>
          </a:r>
        </a:p>
      </dgm:t>
    </dgm:pt>
    <dgm:pt modelId="{EC9A6E67-CA71-425F-9653-1E1307FB9940}" type="parTrans" cxnId="{3EC4BB53-9A6C-4D67-A1E5-E21503B148F4}">
      <dgm:prSet/>
      <dgm:spPr/>
      <dgm:t>
        <a:bodyPr/>
        <a:lstStyle/>
        <a:p>
          <a:endParaRPr lang="en-US"/>
        </a:p>
      </dgm:t>
    </dgm:pt>
    <dgm:pt modelId="{5082EA94-63AA-48F4-B065-729B99884253}" type="sibTrans" cxnId="{3EC4BB53-9A6C-4D67-A1E5-E21503B148F4}">
      <dgm:prSet/>
      <dgm:spPr/>
      <dgm:t>
        <a:bodyPr/>
        <a:lstStyle/>
        <a:p>
          <a:endParaRPr lang="en-US"/>
        </a:p>
      </dgm:t>
    </dgm:pt>
    <dgm:pt modelId="{FEAE9FC7-D6C4-4CA3-84A0-19F0579540E6}">
      <dgm:prSet phldrT="[Text]" custT="1"/>
      <dgm:spPr/>
      <dgm:t>
        <a:bodyPr anchor="ctr"/>
        <a:lstStyle/>
        <a:p>
          <a:pPr algn="r" rtl="1"/>
          <a:r>
            <a:rPr lang="fa-IR" sz="1200">
              <a:cs typeface="B Mitra" panose="00000400000000000000" pitchFamily="2" charset="-78"/>
            </a:rPr>
            <a:t>ابتدا مشخص نمایید معلم تمام وقت هستید یا خیر؟</a:t>
          </a:r>
        </a:p>
      </dgm:t>
    </dgm:pt>
    <dgm:pt modelId="{2C973883-099F-43DF-93DA-3131CA64F569}" type="parTrans" cxnId="{4EC6C6C3-7714-4BE9-B63E-79CB95CF75AF}">
      <dgm:prSet/>
      <dgm:spPr/>
      <dgm:t>
        <a:bodyPr/>
        <a:lstStyle/>
        <a:p>
          <a:endParaRPr lang="en-US"/>
        </a:p>
      </dgm:t>
    </dgm:pt>
    <dgm:pt modelId="{ACC626D2-F456-4113-B659-682F3F11A27D}" type="sibTrans" cxnId="{4EC6C6C3-7714-4BE9-B63E-79CB95CF75AF}">
      <dgm:prSet/>
      <dgm:spPr/>
      <dgm:t>
        <a:bodyPr/>
        <a:lstStyle/>
        <a:p>
          <a:endParaRPr lang="en-US"/>
        </a:p>
      </dgm:t>
    </dgm:pt>
    <dgm:pt modelId="{D7A24034-7F6D-4352-AFF1-2B3E343BD046}" type="pres">
      <dgm:prSet presAssocID="{C1D2449C-A02F-4398-9D4F-EA9126A2C92C}" presName="Name0" presStyleCnt="0">
        <dgm:presLayoutVars>
          <dgm:dir val="rev"/>
          <dgm:animLvl val="lvl"/>
          <dgm:resizeHandles/>
        </dgm:presLayoutVars>
      </dgm:prSet>
      <dgm:spPr/>
      <dgm:t>
        <a:bodyPr/>
        <a:lstStyle/>
        <a:p>
          <a:endParaRPr lang="en-US"/>
        </a:p>
      </dgm:t>
    </dgm:pt>
    <dgm:pt modelId="{BA1167B9-5769-407D-B9F1-2432881D3A3F}" type="pres">
      <dgm:prSet presAssocID="{C6D26149-1E6E-4FDC-8632-ADDA5955A143}" presName="linNode" presStyleCnt="0"/>
      <dgm:spPr/>
      <dgm:t>
        <a:bodyPr/>
        <a:lstStyle/>
        <a:p>
          <a:endParaRPr lang="en-US"/>
        </a:p>
      </dgm:t>
    </dgm:pt>
    <dgm:pt modelId="{136D5532-EBE3-4279-9AC9-6EB12B74A0AC}" type="pres">
      <dgm:prSet presAssocID="{C6D26149-1E6E-4FDC-8632-ADDA5955A143}" presName="parentShp" presStyleLbl="node1" presStyleIdx="0" presStyleCnt="1">
        <dgm:presLayoutVars>
          <dgm:bulletEnabled val="1"/>
        </dgm:presLayoutVars>
      </dgm:prSet>
      <dgm:spPr/>
      <dgm:t>
        <a:bodyPr/>
        <a:lstStyle/>
        <a:p>
          <a:endParaRPr lang="en-US"/>
        </a:p>
      </dgm:t>
    </dgm:pt>
    <dgm:pt modelId="{B5AB600E-6A16-41C4-9583-C28238C2DCCA}" type="pres">
      <dgm:prSet presAssocID="{C6D26149-1E6E-4FDC-8632-ADDA5955A143}" presName="childShp" presStyleLbl="bgAccFollowNode1" presStyleIdx="0" presStyleCnt="1">
        <dgm:presLayoutVars>
          <dgm:bulletEnabled val="1"/>
        </dgm:presLayoutVars>
      </dgm:prSet>
      <dgm:spPr/>
      <dgm:t>
        <a:bodyPr/>
        <a:lstStyle/>
        <a:p>
          <a:endParaRPr lang="en-US"/>
        </a:p>
      </dgm:t>
    </dgm:pt>
  </dgm:ptLst>
  <dgm:cxnLst>
    <dgm:cxn modelId="{4EC6C6C3-7714-4BE9-B63E-79CB95CF75AF}" srcId="{C6D26149-1E6E-4FDC-8632-ADDA5955A143}" destId="{FEAE9FC7-D6C4-4CA3-84A0-19F0579540E6}" srcOrd="0" destOrd="0" parTransId="{2C973883-099F-43DF-93DA-3131CA64F569}" sibTransId="{ACC626D2-F456-4113-B659-682F3F11A27D}"/>
    <dgm:cxn modelId="{3233100D-018E-41EA-8170-8C065935FE1E}" type="presOf" srcId="{911A6A41-703E-4F21-82A9-F68BA6B838FD}" destId="{B5AB600E-6A16-41C4-9583-C28238C2DCCA}" srcOrd="0" destOrd="3" presId="urn:microsoft.com/office/officeart/2005/8/layout/vList6"/>
    <dgm:cxn modelId="{39FCDC12-EAF8-4893-931B-7AEF4D473DC4}" type="presOf" srcId="{C6D26149-1E6E-4FDC-8632-ADDA5955A143}" destId="{136D5532-EBE3-4279-9AC9-6EB12B74A0AC}" srcOrd="0" destOrd="0" presId="urn:microsoft.com/office/officeart/2005/8/layout/vList6"/>
    <dgm:cxn modelId="{3EC4BB53-9A6C-4D67-A1E5-E21503B148F4}" srcId="{C6D26149-1E6E-4FDC-8632-ADDA5955A143}" destId="{068FF9DA-24DA-47C0-A5C1-5609370631FE}" srcOrd="1" destOrd="0" parTransId="{EC9A6E67-CA71-425F-9653-1E1307FB9940}" sibTransId="{5082EA94-63AA-48F4-B065-729B99884253}"/>
    <dgm:cxn modelId="{592DEA85-B28D-4008-866F-65A89FCCEA6A}" srcId="{C1D2449C-A02F-4398-9D4F-EA9126A2C92C}" destId="{C6D26149-1E6E-4FDC-8632-ADDA5955A143}" srcOrd="0" destOrd="0" parTransId="{A438967F-58E7-4E8A-92F5-96A11C3B9744}" sibTransId="{8D57554D-CBDA-4C87-9148-1BC5C7DE2FC5}"/>
    <dgm:cxn modelId="{46BE1003-F538-4D1C-8A85-CFD2366D34B0}" type="presOf" srcId="{C1D2449C-A02F-4398-9D4F-EA9126A2C92C}" destId="{D7A24034-7F6D-4352-AFF1-2B3E343BD046}" srcOrd="0" destOrd="0" presId="urn:microsoft.com/office/officeart/2005/8/layout/vList6"/>
    <dgm:cxn modelId="{FF2ACD6B-18FC-415F-8F0B-41C1FABC49DC}" type="presOf" srcId="{FEAE9FC7-D6C4-4CA3-84A0-19F0579540E6}" destId="{B5AB600E-6A16-41C4-9583-C28238C2DCCA}" srcOrd="0" destOrd="0" presId="urn:microsoft.com/office/officeart/2005/8/layout/vList6"/>
    <dgm:cxn modelId="{360F2450-EE83-46B9-B142-271427C2D9BA}" type="presOf" srcId="{05801472-C559-4EB9-A953-329CFE6F529B}" destId="{B5AB600E-6A16-41C4-9583-C28238C2DCCA}" srcOrd="0" destOrd="2" presId="urn:microsoft.com/office/officeart/2005/8/layout/vList6"/>
    <dgm:cxn modelId="{10985C30-2596-4FE6-AFF3-026FE75253B9}" srcId="{C6D26149-1E6E-4FDC-8632-ADDA5955A143}" destId="{05801472-C559-4EB9-A953-329CFE6F529B}" srcOrd="2" destOrd="0" parTransId="{F1AFDFB4-3B56-4902-A74D-781DF9728D14}" sibTransId="{D119EF49-ABE8-4F91-8376-8AE6D8BCBF60}"/>
    <dgm:cxn modelId="{33577000-8817-4B6F-AD75-E4062E56B4AF}" type="presOf" srcId="{068FF9DA-24DA-47C0-A5C1-5609370631FE}" destId="{B5AB600E-6A16-41C4-9583-C28238C2DCCA}" srcOrd="0" destOrd="1" presId="urn:microsoft.com/office/officeart/2005/8/layout/vList6"/>
    <dgm:cxn modelId="{235D1767-630F-42BD-8E38-1ADC868B4903}" srcId="{C6D26149-1E6E-4FDC-8632-ADDA5955A143}" destId="{911A6A41-703E-4F21-82A9-F68BA6B838FD}" srcOrd="3" destOrd="0" parTransId="{33BA2D9A-72DE-41A7-931A-D8D47F675D85}" sibTransId="{70B195DB-79D3-4484-A5CC-3115CC00CA02}"/>
    <dgm:cxn modelId="{3FF882FA-1D05-4569-AC2B-B5C561C26DB4}" type="presParOf" srcId="{D7A24034-7F6D-4352-AFF1-2B3E343BD046}" destId="{BA1167B9-5769-407D-B9F1-2432881D3A3F}" srcOrd="0" destOrd="0" presId="urn:microsoft.com/office/officeart/2005/8/layout/vList6"/>
    <dgm:cxn modelId="{54D6CB01-BCA8-424D-B846-FC551060D08F}" type="presParOf" srcId="{BA1167B9-5769-407D-B9F1-2432881D3A3F}" destId="{136D5532-EBE3-4279-9AC9-6EB12B74A0AC}" srcOrd="0" destOrd="0" presId="urn:microsoft.com/office/officeart/2005/8/layout/vList6"/>
    <dgm:cxn modelId="{99CCE387-56D2-400A-B2FB-4201DA165189}" type="presParOf" srcId="{BA1167B9-5769-407D-B9F1-2432881D3A3F}" destId="{B5AB600E-6A16-41C4-9583-C28238C2DCCA}" srcOrd="1" destOrd="0" presId="urn:microsoft.com/office/officeart/2005/8/layout/vList6"/>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C1D2449C-A02F-4398-9D4F-EA9126A2C92C}" type="doc">
      <dgm:prSet loTypeId="urn:microsoft.com/office/officeart/2005/8/layout/vList6" loCatId="process" qsTypeId="urn:microsoft.com/office/officeart/2005/8/quickstyle/simple1" qsCatId="simple" csTypeId="urn:microsoft.com/office/officeart/2005/8/colors/colorful5" csCatId="colorful" phldr="1"/>
      <dgm:spPr/>
      <dgm:t>
        <a:bodyPr/>
        <a:lstStyle/>
        <a:p>
          <a:pPr rtl="1"/>
          <a:endParaRPr lang="fa-IR"/>
        </a:p>
      </dgm:t>
    </dgm:pt>
    <dgm:pt modelId="{59C5AC94-AB07-4CBC-A1FF-6AF843831E2F}">
      <dgm:prSet phldrT="[Text]" custT="1"/>
      <dgm:spPr/>
      <dgm:t>
        <a:bodyPr/>
        <a:lstStyle/>
        <a:p>
          <a:pPr rtl="1"/>
          <a:r>
            <a:rPr lang="fa-IR" sz="2800">
              <a:cs typeface="B Mitra" panose="00000400000000000000" pitchFamily="2" charset="-78"/>
            </a:rPr>
            <a:t>بخش دوم</a:t>
          </a:r>
        </a:p>
        <a:p>
          <a:pPr rtl="1"/>
          <a:r>
            <a:rPr lang="fa-IR" sz="1800">
              <a:cs typeface="B Mitra" panose="00000400000000000000" pitchFamily="2" charset="-78"/>
            </a:rPr>
            <a:t>معلمان فاقد رتبه</a:t>
          </a:r>
        </a:p>
        <a:p>
          <a:pPr rtl="1"/>
          <a:r>
            <a:rPr lang="fa-IR" sz="1800">
              <a:solidFill>
                <a:schemeClr val="tx1"/>
              </a:solidFill>
              <a:cs typeface="B Mitra" panose="00000400000000000000" pitchFamily="2" charset="-78"/>
            </a:rPr>
            <a:t>(کمتر از 2 سال سابقه)</a:t>
          </a:r>
        </a:p>
      </dgm:t>
    </dgm:pt>
    <dgm:pt modelId="{181A3DE1-4AEF-495D-8710-D6CEBFB9581C}" type="parTrans" cxnId="{0A65F332-21EB-48BC-891D-4397707F5BE3}">
      <dgm:prSet/>
      <dgm:spPr/>
      <dgm:t>
        <a:bodyPr/>
        <a:lstStyle/>
        <a:p>
          <a:pPr rtl="1"/>
          <a:endParaRPr lang="fa-IR">
            <a:cs typeface="B Mitra" panose="00000400000000000000" pitchFamily="2" charset="-78"/>
          </a:endParaRPr>
        </a:p>
      </dgm:t>
    </dgm:pt>
    <dgm:pt modelId="{B58775AE-ACBC-438D-9609-A3923BA304A2}" type="sibTrans" cxnId="{0A65F332-21EB-48BC-891D-4397707F5BE3}">
      <dgm:prSet/>
      <dgm:spPr/>
      <dgm:t>
        <a:bodyPr/>
        <a:lstStyle/>
        <a:p>
          <a:pPr rtl="1"/>
          <a:endParaRPr lang="fa-IR">
            <a:cs typeface="B Mitra" panose="00000400000000000000" pitchFamily="2" charset="-78"/>
          </a:endParaRPr>
        </a:p>
      </dgm:t>
    </dgm:pt>
    <dgm:pt modelId="{AE97C2BE-36DF-4BE3-86AB-3567C6630E52}">
      <dgm:prSet phldrT="[Text]" custT="1"/>
      <dgm:spPr/>
      <dgm:t>
        <a:bodyPr spcFirstLastPara="0" vert="horz" wrap="square" lIns="8890" tIns="8890" rIns="8890" bIns="8890" numCol="1" spcCol="1270" anchor="ctr" anchorCtr="0"/>
        <a:lstStyle/>
        <a:p>
          <a:pPr marL="114300" lvl="1" indent="-114300" algn="just" defTabSz="622300" rtl="1">
            <a:lnSpc>
              <a:spcPct val="90000"/>
            </a:lnSpc>
            <a:spcBef>
              <a:spcPct val="0"/>
            </a:spcBef>
            <a:spcAft>
              <a:spcPct val="15000"/>
            </a:spcAft>
            <a:buChar char="•"/>
          </a:pPr>
          <a:r>
            <a:rPr lang="fa-IR" sz="1200" kern="1200">
              <a:latin typeface="Calibri" panose="020F0502020204030204"/>
              <a:ea typeface="+mn-ea"/>
              <a:cs typeface="B Mitra" panose="00000400000000000000" pitchFamily="2" charset="-78"/>
            </a:rPr>
            <a:t>سپس اطلاعات هر کدام از اقلام مشخص شده حقوق ثابت و فوق العاده های مستمر خود را با توجه به آخرین حکم کارگزینی سال 1400 وارد نمایید.</a:t>
          </a:r>
        </a:p>
      </dgm:t>
    </dgm:pt>
    <dgm:pt modelId="{9C4AC75F-D7B5-4574-8114-16131E1476A1}" type="parTrans" cxnId="{8DD8BE5B-10BF-4F3C-9E75-C26765353A70}">
      <dgm:prSet/>
      <dgm:spPr/>
      <dgm:t>
        <a:bodyPr/>
        <a:lstStyle/>
        <a:p>
          <a:pPr rtl="1"/>
          <a:endParaRPr lang="fa-IR">
            <a:cs typeface="B Mitra" panose="00000400000000000000" pitchFamily="2" charset="-78"/>
          </a:endParaRPr>
        </a:p>
      </dgm:t>
    </dgm:pt>
    <dgm:pt modelId="{CBE3CDB4-8ADF-42D0-8D64-56B2B70602DE}" type="sibTrans" cxnId="{8DD8BE5B-10BF-4F3C-9E75-C26765353A70}">
      <dgm:prSet/>
      <dgm:spPr/>
      <dgm:t>
        <a:bodyPr/>
        <a:lstStyle/>
        <a:p>
          <a:pPr rtl="1"/>
          <a:endParaRPr lang="fa-IR">
            <a:cs typeface="B Mitra" panose="00000400000000000000" pitchFamily="2" charset="-78"/>
          </a:endParaRPr>
        </a:p>
      </dgm:t>
    </dgm:pt>
    <dgm:pt modelId="{7C512D9B-02F2-45B7-964F-2B19ECA6C434}">
      <dgm:prSet phldrT="[Text]" custT="1"/>
      <dgm:spPr/>
      <dgm:t>
        <a:bodyPr spcFirstLastPara="0" vert="horz" wrap="square" lIns="8890" tIns="8890" rIns="8890" bIns="8890" numCol="1" spcCol="1270" anchor="ctr" anchorCtr="0"/>
        <a:lstStyle/>
        <a:p>
          <a:pPr marL="114300" lvl="1" indent="-114300" algn="just" defTabSz="622300" rtl="1">
            <a:lnSpc>
              <a:spcPct val="90000"/>
            </a:lnSpc>
            <a:spcBef>
              <a:spcPct val="0"/>
            </a:spcBef>
            <a:spcAft>
              <a:spcPct val="15000"/>
            </a:spcAft>
            <a:buChar char="•"/>
          </a:pPr>
          <a:r>
            <a:rPr lang="fa-IR" sz="1200" kern="1200">
              <a:latin typeface="Calibri" panose="020F0502020204030204"/>
              <a:ea typeface="+mn-ea"/>
              <a:cs typeface="B Mitra" panose="00000400000000000000" pitchFamily="2" charset="-78"/>
            </a:rPr>
            <a:t>ابتدا مشخص نمایید که میخواهید بر اساس امتیازات ورود اطلاعات نمایید یا مبالغ ریالی.</a:t>
          </a:r>
        </a:p>
      </dgm:t>
    </dgm:pt>
    <dgm:pt modelId="{ED3B7A4B-7CE7-4401-8E1A-DBD5F5434AE6}" type="parTrans" cxnId="{C7593D03-9F01-41A1-ADE4-0104A21A3928}">
      <dgm:prSet/>
      <dgm:spPr/>
      <dgm:t>
        <a:bodyPr/>
        <a:lstStyle/>
        <a:p>
          <a:endParaRPr lang="en-US"/>
        </a:p>
      </dgm:t>
    </dgm:pt>
    <dgm:pt modelId="{650DCE44-7A80-4885-9DFF-19569B799AF0}" type="sibTrans" cxnId="{C7593D03-9F01-41A1-ADE4-0104A21A3928}">
      <dgm:prSet/>
      <dgm:spPr/>
      <dgm:t>
        <a:bodyPr/>
        <a:lstStyle/>
        <a:p>
          <a:endParaRPr lang="en-US"/>
        </a:p>
      </dgm:t>
    </dgm:pt>
    <dgm:pt modelId="{B6802FC2-C9C9-4292-817F-8CE3B75EB11E}">
      <dgm:prSet phldrT="[Text]" custT="1"/>
      <dgm:spPr/>
      <dgm:t>
        <a:bodyPr spcFirstLastPara="0" vert="horz" wrap="square" lIns="8890" tIns="8890" rIns="8890" bIns="8890" numCol="1" spcCol="1270" anchor="ctr" anchorCtr="0"/>
        <a:lstStyle/>
        <a:p>
          <a:pPr marL="114300" lvl="1" indent="-114300" algn="just" defTabSz="622300" rtl="1">
            <a:lnSpc>
              <a:spcPct val="90000"/>
            </a:lnSpc>
            <a:spcBef>
              <a:spcPct val="0"/>
            </a:spcBef>
            <a:spcAft>
              <a:spcPct val="15000"/>
            </a:spcAft>
            <a:buChar char="•"/>
          </a:pPr>
          <a:r>
            <a:rPr lang="fa-IR" sz="1200" kern="1200">
              <a:latin typeface="Calibri" panose="020F0502020204030204"/>
              <a:ea typeface="+mn-ea"/>
              <a:cs typeface="B Mitra" panose="00000400000000000000" pitchFamily="2" charset="-78"/>
            </a:rPr>
            <a:t>در پایان اگر مبلغی بابت تفاوت تطبیق جزء (3) بند (الف) تبصره (12) قانون بودجه در حکمتان وجود دارد آن را در کادر مربوطه درج نمایید.</a:t>
          </a:r>
        </a:p>
      </dgm:t>
    </dgm:pt>
    <dgm:pt modelId="{BEBE2A00-D1EA-4810-8805-2FECAD338984}" type="parTrans" cxnId="{F1E88BCF-D3B0-4894-AE40-22C2B55963E8}">
      <dgm:prSet/>
      <dgm:spPr/>
      <dgm:t>
        <a:bodyPr/>
        <a:lstStyle/>
        <a:p>
          <a:endParaRPr lang="en-US"/>
        </a:p>
      </dgm:t>
    </dgm:pt>
    <dgm:pt modelId="{80B839E6-2BA7-446A-80BF-113D4C82791F}" type="sibTrans" cxnId="{F1E88BCF-D3B0-4894-AE40-22C2B55963E8}">
      <dgm:prSet/>
      <dgm:spPr/>
      <dgm:t>
        <a:bodyPr/>
        <a:lstStyle/>
        <a:p>
          <a:endParaRPr lang="en-US"/>
        </a:p>
      </dgm:t>
    </dgm:pt>
    <dgm:pt modelId="{D7A24034-7F6D-4352-AFF1-2B3E343BD046}" type="pres">
      <dgm:prSet presAssocID="{C1D2449C-A02F-4398-9D4F-EA9126A2C92C}" presName="Name0" presStyleCnt="0">
        <dgm:presLayoutVars>
          <dgm:dir val="rev"/>
          <dgm:animLvl val="lvl"/>
          <dgm:resizeHandles/>
        </dgm:presLayoutVars>
      </dgm:prSet>
      <dgm:spPr/>
      <dgm:t>
        <a:bodyPr/>
        <a:lstStyle/>
        <a:p>
          <a:endParaRPr lang="en-US"/>
        </a:p>
      </dgm:t>
    </dgm:pt>
    <dgm:pt modelId="{8EC8B889-1FB7-407E-9295-9050E462ACD3}" type="pres">
      <dgm:prSet presAssocID="{59C5AC94-AB07-4CBC-A1FF-6AF843831E2F}" presName="linNode" presStyleCnt="0"/>
      <dgm:spPr/>
    </dgm:pt>
    <dgm:pt modelId="{5610D20A-1F48-4DBA-830B-312BC56931BB}" type="pres">
      <dgm:prSet presAssocID="{59C5AC94-AB07-4CBC-A1FF-6AF843831E2F}" presName="parentShp" presStyleLbl="node1" presStyleIdx="0" presStyleCnt="1">
        <dgm:presLayoutVars>
          <dgm:bulletEnabled val="1"/>
        </dgm:presLayoutVars>
      </dgm:prSet>
      <dgm:spPr/>
      <dgm:t>
        <a:bodyPr/>
        <a:lstStyle/>
        <a:p>
          <a:endParaRPr lang="en-US"/>
        </a:p>
      </dgm:t>
    </dgm:pt>
    <dgm:pt modelId="{E94741FE-2966-4541-8DF8-02C6FF9CEA9A}" type="pres">
      <dgm:prSet presAssocID="{59C5AC94-AB07-4CBC-A1FF-6AF843831E2F}" presName="childShp" presStyleLbl="bgAccFollowNode1" presStyleIdx="0" presStyleCnt="1">
        <dgm:presLayoutVars>
          <dgm:bulletEnabled val="1"/>
        </dgm:presLayoutVars>
      </dgm:prSet>
      <dgm:spPr>
        <a:xfrm rot="10800000">
          <a:off x="0" y="1801112"/>
          <a:ext cx="2934652" cy="1636993"/>
        </a:xfrm>
        <a:prstGeom prst="rightArrow">
          <a:avLst>
            <a:gd name="adj1" fmla="val 75000"/>
            <a:gd name="adj2" fmla="val 50000"/>
          </a:avLst>
        </a:prstGeom>
      </dgm:spPr>
      <dgm:t>
        <a:bodyPr/>
        <a:lstStyle/>
        <a:p>
          <a:endParaRPr lang="en-US"/>
        </a:p>
      </dgm:t>
    </dgm:pt>
  </dgm:ptLst>
  <dgm:cxnLst>
    <dgm:cxn modelId="{C50804BF-07EC-4A7A-BB09-7A9A32B55615}" type="presOf" srcId="{7C512D9B-02F2-45B7-964F-2B19ECA6C434}" destId="{E94741FE-2966-4541-8DF8-02C6FF9CEA9A}" srcOrd="0" destOrd="0" presId="urn:microsoft.com/office/officeart/2005/8/layout/vList6"/>
    <dgm:cxn modelId="{CF4A1D99-2CAC-48EE-AA19-6C662DA623BF}" type="presOf" srcId="{B6802FC2-C9C9-4292-817F-8CE3B75EB11E}" destId="{E94741FE-2966-4541-8DF8-02C6FF9CEA9A}" srcOrd="0" destOrd="2" presId="urn:microsoft.com/office/officeart/2005/8/layout/vList6"/>
    <dgm:cxn modelId="{C7593D03-9F01-41A1-ADE4-0104A21A3928}" srcId="{59C5AC94-AB07-4CBC-A1FF-6AF843831E2F}" destId="{7C512D9B-02F2-45B7-964F-2B19ECA6C434}" srcOrd="0" destOrd="0" parTransId="{ED3B7A4B-7CE7-4401-8E1A-DBD5F5434AE6}" sibTransId="{650DCE44-7A80-4885-9DFF-19569B799AF0}"/>
    <dgm:cxn modelId="{0A65F332-21EB-48BC-891D-4397707F5BE3}" srcId="{C1D2449C-A02F-4398-9D4F-EA9126A2C92C}" destId="{59C5AC94-AB07-4CBC-A1FF-6AF843831E2F}" srcOrd="0" destOrd="0" parTransId="{181A3DE1-4AEF-495D-8710-D6CEBFB9581C}" sibTransId="{B58775AE-ACBC-438D-9609-A3923BA304A2}"/>
    <dgm:cxn modelId="{8DD8BE5B-10BF-4F3C-9E75-C26765353A70}" srcId="{59C5AC94-AB07-4CBC-A1FF-6AF843831E2F}" destId="{AE97C2BE-36DF-4BE3-86AB-3567C6630E52}" srcOrd="1" destOrd="0" parTransId="{9C4AC75F-D7B5-4574-8114-16131E1476A1}" sibTransId="{CBE3CDB4-8ADF-42D0-8D64-56B2B70602DE}"/>
    <dgm:cxn modelId="{5F854336-D47E-440E-B50A-37F9A3BC598C}" type="presOf" srcId="{59C5AC94-AB07-4CBC-A1FF-6AF843831E2F}" destId="{5610D20A-1F48-4DBA-830B-312BC56931BB}" srcOrd="0" destOrd="0" presId="urn:microsoft.com/office/officeart/2005/8/layout/vList6"/>
    <dgm:cxn modelId="{DD2A0299-D4E6-4807-930A-BCB07748759B}" type="presOf" srcId="{AE97C2BE-36DF-4BE3-86AB-3567C6630E52}" destId="{E94741FE-2966-4541-8DF8-02C6FF9CEA9A}" srcOrd="0" destOrd="1" presId="urn:microsoft.com/office/officeart/2005/8/layout/vList6"/>
    <dgm:cxn modelId="{F1E88BCF-D3B0-4894-AE40-22C2B55963E8}" srcId="{59C5AC94-AB07-4CBC-A1FF-6AF843831E2F}" destId="{B6802FC2-C9C9-4292-817F-8CE3B75EB11E}" srcOrd="2" destOrd="0" parTransId="{BEBE2A00-D1EA-4810-8805-2FECAD338984}" sibTransId="{80B839E6-2BA7-446A-80BF-113D4C82791F}"/>
    <dgm:cxn modelId="{46BE1003-F538-4D1C-8A85-CFD2366D34B0}" type="presOf" srcId="{C1D2449C-A02F-4398-9D4F-EA9126A2C92C}" destId="{D7A24034-7F6D-4352-AFF1-2B3E343BD046}" srcOrd="0" destOrd="0" presId="urn:microsoft.com/office/officeart/2005/8/layout/vList6"/>
    <dgm:cxn modelId="{A0DA6874-B67D-4E71-A352-AD59B40C87BA}" type="presParOf" srcId="{D7A24034-7F6D-4352-AFF1-2B3E343BD046}" destId="{8EC8B889-1FB7-407E-9295-9050E462ACD3}" srcOrd="0" destOrd="0" presId="urn:microsoft.com/office/officeart/2005/8/layout/vList6"/>
    <dgm:cxn modelId="{2CA44434-43F9-4428-9C63-43316E39892A}" type="presParOf" srcId="{8EC8B889-1FB7-407E-9295-9050E462ACD3}" destId="{5610D20A-1F48-4DBA-830B-312BC56931BB}" srcOrd="0" destOrd="0" presId="urn:microsoft.com/office/officeart/2005/8/layout/vList6"/>
    <dgm:cxn modelId="{D3190B47-BAB4-48FF-99CB-2748F2EF0B8A}" type="presParOf" srcId="{8EC8B889-1FB7-407E-9295-9050E462ACD3}" destId="{E94741FE-2966-4541-8DF8-02C6FF9CEA9A}" srcOrd="1" destOrd="0" presId="urn:microsoft.com/office/officeart/2005/8/layout/vList6"/>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5AB600E-6A16-41C4-9583-C28238C2DCCA}">
      <dsp:nvSpPr>
        <dsp:cNvPr id="0" name=""/>
        <dsp:cNvSpPr/>
      </dsp:nvSpPr>
      <dsp:spPr>
        <a:xfrm rot="10800000">
          <a:off x="0" y="0"/>
          <a:ext cx="3034665" cy="2524124"/>
        </a:xfrm>
        <a:prstGeom prst="rightArrow">
          <a:avLst>
            <a:gd name="adj1" fmla="val 75000"/>
            <a:gd name="adj2" fmla="val 50000"/>
          </a:avLst>
        </a:prstGeom>
        <a:solidFill>
          <a:schemeClr val="accent1">
            <a:alpha val="90000"/>
            <a:tint val="55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marL="114300" lvl="1" indent="-114300" algn="r" defTabSz="533400" rtl="1">
            <a:lnSpc>
              <a:spcPct val="90000"/>
            </a:lnSpc>
            <a:spcBef>
              <a:spcPct val="0"/>
            </a:spcBef>
            <a:spcAft>
              <a:spcPct val="15000"/>
            </a:spcAft>
            <a:buChar char="••"/>
          </a:pPr>
          <a:r>
            <a:rPr lang="fa-IR" sz="1200" kern="1200">
              <a:cs typeface="B Mitra" panose="00000400000000000000" pitchFamily="2" charset="-78"/>
            </a:rPr>
            <a:t>ابتدا مشخص نمایید معلم تمام وقت هستید یا خیر؟</a:t>
          </a:r>
        </a:p>
        <a:p>
          <a:pPr marL="114300" lvl="1" indent="-114300" algn="r" defTabSz="533400" rtl="1">
            <a:lnSpc>
              <a:spcPct val="90000"/>
            </a:lnSpc>
            <a:spcBef>
              <a:spcPct val="0"/>
            </a:spcBef>
            <a:spcAft>
              <a:spcPct val="15000"/>
            </a:spcAft>
            <a:buChar char="••"/>
          </a:pPr>
          <a:r>
            <a:rPr lang="fa-IR" sz="1200" kern="1200">
              <a:cs typeface="B Mitra" panose="00000400000000000000" pitchFamily="2" charset="-78"/>
            </a:rPr>
            <a:t>در ادامه مقطع تدریس خود را مشخص نمایید.</a:t>
          </a:r>
        </a:p>
        <a:p>
          <a:pPr marL="114300" lvl="1" indent="-114300" algn="r" defTabSz="533400" rtl="1">
            <a:lnSpc>
              <a:spcPct val="90000"/>
            </a:lnSpc>
            <a:spcBef>
              <a:spcPct val="0"/>
            </a:spcBef>
            <a:spcAft>
              <a:spcPct val="15000"/>
            </a:spcAft>
            <a:buChar char="••"/>
          </a:pPr>
          <a:r>
            <a:rPr lang="fa-IR" sz="1200" kern="1200">
              <a:cs typeface="B Mitra" panose="00000400000000000000" pitchFamily="2" charset="-78"/>
            </a:rPr>
            <a:t>سپس رتبه خود را در محل مربوطه ثبت نمایید.  (1 تا 5)</a:t>
          </a:r>
        </a:p>
        <a:p>
          <a:pPr marL="114300" lvl="1" indent="-114300" algn="just" defTabSz="533400" rtl="1">
            <a:lnSpc>
              <a:spcPct val="90000"/>
            </a:lnSpc>
            <a:spcBef>
              <a:spcPct val="0"/>
            </a:spcBef>
            <a:spcAft>
              <a:spcPct val="15000"/>
            </a:spcAft>
            <a:buChar char="••"/>
          </a:pPr>
          <a:r>
            <a:rPr lang="fa-IR" sz="1200" kern="1200">
              <a:cs typeface="B Mitra" panose="00000400000000000000" pitchFamily="2" charset="-78"/>
            </a:rPr>
            <a:t>در انتها، رقم ریالی فوق العاده ویژه آخرین حکم کارگزینی خود را وارد نمایید.</a:t>
          </a:r>
        </a:p>
      </dsp:txBody>
      <dsp:txXfrm rot="10800000">
        <a:off x="946546" y="315515"/>
        <a:ext cx="2088119" cy="1893093"/>
      </dsp:txXfrm>
    </dsp:sp>
    <dsp:sp modelId="{136D5532-EBE3-4279-9AC9-6EB12B74A0AC}">
      <dsp:nvSpPr>
        <dsp:cNvPr id="0" name=""/>
        <dsp:cNvSpPr/>
      </dsp:nvSpPr>
      <dsp:spPr>
        <a:xfrm>
          <a:off x="3034665" y="0"/>
          <a:ext cx="2023110" cy="2524124"/>
        </a:xfrm>
        <a:prstGeom prst="roundRect">
          <a:avLst/>
        </a:prstGeom>
        <a:solidFill>
          <a:schemeClr val="accent1">
            <a:shade val="5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53340" rIns="106680" bIns="53340" numCol="1" spcCol="1270" anchor="ctr" anchorCtr="0">
          <a:noAutofit/>
        </a:bodyPr>
        <a:lstStyle/>
        <a:p>
          <a:pPr lvl="0" algn="ctr" defTabSz="1244600" rtl="1">
            <a:lnSpc>
              <a:spcPct val="90000"/>
            </a:lnSpc>
            <a:spcBef>
              <a:spcPct val="0"/>
            </a:spcBef>
            <a:spcAft>
              <a:spcPct val="35000"/>
            </a:spcAft>
          </a:pPr>
          <a:r>
            <a:rPr lang="fa-IR" sz="2800" kern="1200">
              <a:cs typeface="B Mitra" panose="00000400000000000000" pitchFamily="2" charset="-78"/>
            </a:rPr>
            <a:t>بخش اول</a:t>
          </a:r>
        </a:p>
        <a:p>
          <a:pPr lvl="0" algn="ctr" defTabSz="1244600" rtl="1">
            <a:lnSpc>
              <a:spcPct val="90000"/>
            </a:lnSpc>
            <a:spcBef>
              <a:spcPct val="0"/>
            </a:spcBef>
            <a:spcAft>
              <a:spcPct val="35000"/>
            </a:spcAft>
          </a:pPr>
          <a:r>
            <a:rPr lang="fa-IR" sz="1800" kern="1200">
              <a:cs typeface="B Mitra" panose="00000400000000000000" pitchFamily="2" charset="-78"/>
            </a:rPr>
            <a:t>معلمان دارای رتبه</a:t>
          </a:r>
        </a:p>
        <a:p>
          <a:pPr lvl="0" algn="ctr" defTabSz="1244600" rtl="1">
            <a:lnSpc>
              <a:spcPct val="90000"/>
            </a:lnSpc>
            <a:spcBef>
              <a:spcPct val="0"/>
            </a:spcBef>
            <a:spcAft>
              <a:spcPct val="35000"/>
            </a:spcAft>
          </a:pPr>
          <a:r>
            <a:rPr lang="fa-IR" sz="1800" kern="1200">
              <a:solidFill>
                <a:sysClr val="windowText" lastClr="000000"/>
              </a:solidFill>
              <a:cs typeface="B Mitra" panose="00000400000000000000" pitchFamily="2" charset="-78"/>
            </a:rPr>
            <a:t>(1 تا 5)</a:t>
          </a:r>
        </a:p>
      </dsp:txBody>
      <dsp:txXfrm>
        <a:off x="3133425" y="98760"/>
        <a:ext cx="1825590" cy="232660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94741FE-2966-4541-8DF8-02C6FF9CEA9A}">
      <dsp:nvSpPr>
        <dsp:cNvPr id="0" name=""/>
        <dsp:cNvSpPr/>
      </dsp:nvSpPr>
      <dsp:spPr>
        <a:xfrm rot="10800000">
          <a:off x="0" y="0"/>
          <a:ext cx="3011805" cy="3000374"/>
        </a:xfrm>
        <a:prstGeom prst="rightArrow">
          <a:avLst>
            <a:gd name="adj1" fmla="val 75000"/>
            <a:gd name="adj2" fmla="val 50000"/>
          </a:avLst>
        </a:prstGeom>
        <a:solidFill>
          <a:schemeClr val="accent5">
            <a:tint val="40000"/>
            <a:alpha val="90000"/>
            <a:hueOff val="0"/>
            <a:satOff val="0"/>
            <a:lumOff val="0"/>
            <a:alphaOff val="0"/>
          </a:schemeClr>
        </a:solidFill>
        <a:ln w="12700" cap="flat" cmpd="sng" algn="ctr">
          <a:solidFill>
            <a:schemeClr val="accent5">
              <a:tint val="40000"/>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890" tIns="8890" rIns="8890" bIns="8890" numCol="1" spcCol="1270" anchor="ctr" anchorCtr="0">
          <a:noAutofit/>
        </a:bodyPr>
        <a:lstStyle/>
        <a:p>
          <a:pPr marL="114300" lvl="1" indent="-114300" algn="just" defTabSz="622300" rtl="1">
            <a:lnSpc>
              <a:spcPct val="90000"/>
            </a:lnSpc>
            <a:spcBef>
              <a:spcPct val="0"/>
            </a:spcBef>
            <a:spcAft>
              <a:spcPct val="15000"/>
            </a:spcAft>
            <a:buChar char="••"/>
          </a:pPr>
          <a:r>
            <a:rPr lang="fa-IR" sz="1200" kern="1200">
              <a:latin typeface="Calibri" panose="020F0502020204030204"/>
              <a:ea typeface="+mn-ea"/>
              <a:cs typeface="B Mitra" panose="00000400000000000000" pitchFamily="2" charset="-78"/>
            </a:rPr>
            <a:t>ابتدا مشخص نمایید که میخواهید بر اساس امتیازات ورود اطلاعات نمایید یا مبالغ ریالی.</a:t>
          </a:r>
        </a:p>
        <a:p>
          <a:pPr marL="114300" lvl="1" indent="-114300" algn="just" defTabSz="622300" rtl="1">
            <a:lnSpc>
              <a:spcPct val="90000"/>
            </a:lnSpc>
            <a:spcBef>
              <a:spcPct val="0"/>
            </a:spcBef>
            <a:spcAft>
              <a:spcPct val="15000"/>
            </a:spcAft>
            <a:buChar char="••"/>
          </a:pPr>
          <a:r>
            <a:rPr lang="fa-IR" sz="1200" kern="1200">
              <a:latin typeface="Calibri" panose="020F0502020204030204"/>
              <a:ea typeface="+mn-ea"/>
              <a:cs typeface="B Mitra" panose="00000400000000000000" pitchFamily="2" charset="-78"/>
            </a:rPr>
            <a:t>سپس اطلاعات هر کدام از اقلام مشخص شده حقوق ثابت و فوق العاده های مستمر خود را با توجه به آخرین حکم کارگزینی سال 1400 وارد نمایید.</a:t>
          </a:r>
        </a:p>
        <a:p>
          <a:pPr marL="114300" lvl="1" indent="-114300" algn="just" defTabSz="622300" rtl="1">
            <a:lnSpc>
              <a:spcPct val="90000"/>
            </a:lnSpc>
            <a:spcBef>
              <a:spcPct val="0"/>
            </a:spcBef>
            <a:spcAft>
              <a:spcPct val="15000"/>
            </a:spcAft>
            <a:buChar char="••"/>
          </a:pPr>
          <a:r>
            <a:rPr lang="fa-IR" sz="1200" kern="1200">
              <a:latin typeface="Calibri" panose="020F0502020204030204"/>
              <a:ea typeface="+mn-ea"/>
              <a:cs typeface="B Mitra" panose="00000400000000000000" pitchFamily="2" charset="-78"/>
            </a:rPr>
            <a:t>در پایان اگر مبلغی بابت تفاوت تطبیق جزء (3) بند (الف) تبصره (12) قانون بودجه در حکمتان وجود دارد آن را در کادر مربوطه درج نمایید.</a:t>
          </a:r>
        </a:p>
      </dsp:txBody>
      <dsp:txXfrm rot="10800000">
        <a:off x="1125140" y="375047"/>
        <a:ext cx="1886665" cy="2250280"/>
      </dsp:txXfrm>
    </dsp:sp>
    <dsp:sp modelId="{5610D20A-1F48-4DBA-830B-312BC56931BB}">
      <dsp:nvSpPr>
        <dsp:cNvPr id="0" name=""/>
        <dsp:cNvSpPr/>
      </dsp:nvSpPr>
      <dsp:spPr>
        <a:xfrm>
          <a:off x="3011805" y="0"/>
          <a:ext cx="2007870" cy="3000374"/>
        </a:xfrm>
        <a:prstGeom prst="roundRect">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53340" rIns="106680" bIns="53340" numCol="1" spcCol="1270" anchor="ctr" anchorCtr="0">
          <a:noAutofit/>
        </a:bodyPr>
        <a:lstStyle/>
        <a:p>
          <a:pPr lvl="0" algn="ctr" defTabSz="1244600" rtl="1">
            <a:lnSpc>
              <a:spcPct val="90000"/>
            </a:lnSpc>
            <a:spcBef>
              <a:spcPct val="0"/>
            </a:spcBef>
            <a:spcAft>
              <a:spcPct val="35000"/>
            </a:spcAft>
          </a:pPr>
          <a:r>
            <a:rPr lang="fa-IR" sz="2800" kern="1200">
              <a:cs typeface="B Mitra" panose="00000400000000000000" pitchFamily="2" charset="-78"/>
            </a:rPr>
            <a:t>بخش دوم</a:t>
          </a:r>
        </a:p>
        <a:p>
          <a:pPr lvl="0" algn="ctr" defTabSz="1244600" rtl="1">
            <a:lnSpc>
              <a:spcPct val="90000"/>
            </a:lnSpc>
            <a:spcBef>
              <a:spcPct val="0"/>
            </a:spcBef>
            <a:spcAft>
              <a:spcPct val="35000"/>
            </a:spcAft>
          </a:pPr>
          <a:r>
            <a:rPr lang="fa-IR" sz="1800" kern="1200">
              <a:cs typeface="B Mitra" panose="00000400000000000000" pitchFamily="2" charset="-78"/>
            </a:rPr>
            <a:t>معلمان فاقد رتبه</a:t>
          </a:r>
        </a:p>
        <a:p>
          <a:pPr lvl="0" algn="ctr" defTabSz="1244600" rtl="1">
            <a:lnSpc>
              <a:spcPct val="90000"/>
            </a:lnSpc>
            <a:spcBef>
              <a:spcPct val="0"/>
            </a:spcBef>
            <a:spcAft>
              <a:spcPct val="35000"/>
            </a:spcAft>
          </a:pPr>
          <a:r>
            <a:rPr lang="fa-IR" sz="1800" kern="1200">
              <a:solidFill>
                <a:schemeClr val="tx1"/>
              </a:solidFill>
              <a:cs typeface="B Mitra" panose="00000400000000000000" pitchFamily="2" charset="-78"/>
            </a:rPr>
            <a:t>(کمتر از 2 سال سابقه)</a:t>
          </a:r>
        </a:p>
      </dsp:txBody>
      <dsp:txXfrm>
        <a:off x="3109821" y="98016"/>
        <a:ext cx="1811838" cy="2804342"/>
      </dsp:txXfrm>
    </dsp:sp>
  </dsp:spTree>
</dsp:drawing>
</file>

<file path=xl/diagrams/layout1.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drawing1.xml><?xml version="1.0" encoding="utf-8"?>
<xdr:wsDr xmlns:xdr="http://schemas.openxmlformats.org/drawingml/2006/spreadsheetDrawing" xmlns:a="http://schemas.openxmlformats.org/drawingml/2006/main">
  <xdr:twoCellAnchor editAs="oneCell">
    <xdr:from>
      <xdr:col>4</xdr:col>
      <xdr:colOff>3021313</xdr:colOff>
      <xdr:row>1</xdr:row>
      <xdr:rowOff>9526</xdr:rowOff>
    </xdr:from>
    <xdr:to>
      <xdr:col>5</xdr:col>
      <xdr:colOff>1107578</xdr:colOff>
      <xdr:row>2</xdr:row>
      <xdr:rowOff>217144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78321222" y="361951"/>
          <a:ext cx="1943890" cy="626718"/>
        </a:xfrm>
        <a:prstGeom prst="rect">
          <a:avLst/>
        </a:prstGeom>
      </xdr:spPr>
    </xdr:pic>
    <xdr:clientData/>
  </xdr:twoCellAnchor>
  <xdr:twoCellAnchor>
    <xdr:from>
      <xdr:col>1</xdr:col>
      <xdr:colOff>9525</xdr:colOff>
      <xdr:row>4</xdr:row>
      <xdr:rowOff>1</xdr:rowOff>
    </xdr:from>
    <xdr:to>
      <xdr:col>3</xdr:col>
      <xdr:colOff>19050</xdr:colOff>
      <xdr:row>13</xdr:row>
      <xdr:rowOff>295275</xdr:rowOff>
    </xdr:to>
    <xdr:graphicFrame macro="">
      <xdr:nvGraphicFramePr>
        <xdr:cNvPr id="3" name="Diagram 2">
          <a:extLst>
            <a:ext uri="{FF2B5EF4-FFF2-40B4-BE49-F238E27FC236}">
              <a16:creationId xmlns:a16="http://schemas.microsoft.com/office/drawing/2014/main" id="{9288671A-8D4C-405A-94F9-7D52E623616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1</xdr:col>
      <xdr:colOff>19050</xdr:colOff>
      <xdr:row>16</xdr:row>
      <xdr:rowOff>28576</xdr:rowOff>
    </xdr:from>
    <xdr:to>
      <xdr:col>2</xdr:col>
      <xdr:colOff>1181100</xdr:colOff>
      <xdr:row>25</xdr:row>
      <xdr:rowOff>285750</xdr:rowOff>
    </xdr:to>
    <xdr:graphicFrame macro="">
      <xdr:nvGraphicFramePr>
        <xdr:cNvPr id="4" name="Diagram 3">
          <a:extLst>
            <a:ext uri="{FF2B5EF4-FFF2-40B4-BE49-F238E27FC236}">
              <a16:creationId xmlns:a16="http://schemas.microsoft.com/office/drawing/2014/main" id="{777458A5-B441-4005-A574-86F896A5AB4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shenasname.ir/8831" TargetMode="External"/><Relationship Id="rId7" Type="http://schemas.openxmlformats.org/officeDocument/2006/relationships/printerSettings" Target="../printerSettings/printerSettings1.bin"/><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6" Type="http://schemas.openxmlformats.org/officeDocument/2006/relationships/hyperlink" Target="https://www.instagram.com/sayah.shahdi/" TargetMode="External"/><Relationship Id="rId5" Type="http://schemas.openxmlformats.org/officeDocument/2006/relationships/hyperlink" Target="https://www.instagram.com/sayah.shahdi/" TargetMode="External"/><Relationship Id="rId4" Type="http://schemas.openxmlformats.org/officeDocument/2006/relationships/hyperlink" Target="https://www.instagram.com/sayah.shahd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Y322"/>
  <sheetViews>
    <sheetView showGridLines="0" showRowColHeaders="0" rightToLeft="1" tabSelected="1" zoomScaleNormal="100" workbookViewId="0">
      <selection activeCell="F5" sqref="F5"/>
    </sheetView>
  </sheetViews>
  <sheetFormatPr defaultColWidth="9" defaultRowHeight="18" x14ac:dyDescent="0.45"/>
  <cols>
    <col min="1" max="1" width="3.625" style="162" customWidth="1"/>
    <col min="2" max="2" width="50.625" style="61" customWidth="1"/>
    <col min="3" max="3" width="15.625" style="61" customWidth="1"/>
    <col min="4" max="4" width="5.125" style="167" customWidth="1"/>
    <col min="5" max="5" width="50.625" style="61" customWidth="1"/>
    <col min="6" max="6" width="15.625" style="61" customWidth="1"/>
    <col min="7" max="7" width="9" style="162"/>
    <col min="8" max="8" width="35.25" style="162" customWidth="1"/>
    <col min="9" max="9" width="39.125" style="162" customWidth="1"/>
    <col min="10" max="20" width="59" style="162" customWidth="1"/>
    <col min="21" max="25" width="9" style="162"/>
    <col min="26" max="16384" width="9" style="50"/>
  </cols>
  <sheetData>
    <row r="1" spans="2:7" s="162" customFormat="1" ht="34.5" customHeight="1" x14ac:dyDescent="0.75">
      <c r="B1" s="205" t="s">
        <v>162</v>
      </c>
      <c r="C1" s="205"/>
      <c r="D1" s="205"/>
      <c r="E1" s="205"/>
      <c r="F1" s="194"/>
      <c r="G1" s="172"/>
    </row>
    <row r="2" spans="2:7" s="162" customFormat="1" ht="33" customHeight="1" x14ac:dyDescent="0.2">
      <c r="B2" s="206" t="s">
        <v>156</v>
      </c>
      <c r="C2" s="206"/>
      <c r="D2" s="206"/>
      <c r="E2" s="206"/>
      <c r="F2" s="195"/>
      <c r="G2" s="172"/>
    </row>
    <row r="3" spans="2:7" s="162" customFormat="1" ht="27" customHeight="1" thickBot="1" x14ac:dyDescent="0.25">
      <c r="B3" s="207" t="s">
        <v>142</v>
      </c>
      <c r="C3" s="207"/>
      <c r="D3" s="207"/>
      <c r="E3" s="207"/>
      <c r="F3" s="197"/>
      <c r="G3" s="172"/>
    </row>
    <row r="4" spans="2:7" s="162" customFormat="1" ht="27" customHeight="1" thickTop="1" x14ac:dyDescent="0.55000000000000004">
      <c r="B4" s="200"/>
      <c r="C4" s="200"/>
      <c r="D4" s="200"/>
      <c r="E4" s="210" t="s">
        <v>158</v>
      </c>
      <c r="F4" s="210"/>
      <c r="G4" s="172"/>
    </row>
    <row r="5" spans="2:7" s="162" customFormat="1" ht="27" customHeight="1" x14ac:dyDescent="0.2">
      <c r="B5" s="200"/>
      <c r="C5" s="200"/>
      <c r="D5" s="200"/>
      <c r="E5" s="186" t="s">
        <v>160</v>
      </c>
      <c r="F5" s="192" t="s">
        <v>9</v>
      </c>
      <c r="G5" s="172"/>
    </row>
    <row r="6" spans="2:7" ht="8.1" customHeight="1" x14ac:dyDescent="0.55000000000000004">
      <c r="D6" s="168"/>
      <c r="E6" s="210"/>
      <c r="F6" s="210"/>
      <c r="G6" s="172"/>
    </row>
    <row r="7" spans="2:7" ht="24" customHeight="1" x14ac:dyDescent="0.45">
      <c r="D7" s="168"/>
      <c r="E7" s="186" t="s">
        <v>159</v>
      </c>
      <c r="F7" s="192" t="s">
        <v>43</v>
      </c>
      <c r="G7" s="172"/>
    </row>
    <row r="8" spans="2:7" ht="8.1" customHeight="1" x14ac:dyDescent="0.55000000000000004">
      <c r="D8" s="168"/>
      <c r="E8" s="210"/>
      <c r="F8" s="210"/>
      <c r="G8" s="172"/>
    </row>
    <row r="9" spans="2:7" ht="24" customHeight="1" x14ac:dyDescent="0.45">
      <c r="D9" s="168"/>
      <c r="E9" s="186" t="s">
        <v>161</v>
      </c>
      <c r="F9" s="192">
        <v>1</v>
      </c>
      <c r="G9" s="172"/>
    </row>
    <row r="10" spans="2:7" ht="8.1" customHeight="1" x14ac:dyDescent="0.55000000000000004">
      <c r="D10" s="168"/>
      <c r="E10" s="210"/>
      <c r="F10" s="210"/>
      <c r="G10" s="172"/>
    </row>
    <row r="11" spans="2:7" ht="24" customHeight="1" x14ac:dyDescent="0.45">
      <c r="D11" s="168"/>
      <c r="E11" s="186" t="s">
        <v>151</v>
      </c>
      <c r="F11" s="187">
        <v>0</v>
      </c>
      <c r="G11" s="172"/>
    </row>
    <row r="12" spans="2:7" ht="24" customHeight="1" x14ac:dyDescent="0.55000000000000004">
      <c r="D12" s="168"/>
      <c r="E12" s="210" t="s">
        <v>155</v>
      </c>
      <c r="F12" s="210"/>
      <c r="G12" s="172"/>
    </row>
    <row r="13" spans="2:7" ht="30" customHeight="1" x14ac:dyDescent="0.45">
      <c r="D13" s="168"/>
      <c r="E13" s="193" t="s">
        <v>154</v>
      </c>
      <c r="F13" s="198">
        <f>(F11/Sheet1!D19)*Sheet1!E17</f>
        <v>0</v>
      </c>
    </row>
    <row r="14" spans="2:7" ht="30" customHeight="1" x14ac:dyDescent="0.45">
      <c r="D14" s="168"/>
      <c r="E14" s="193" t="s">
        <v>153</v>
      </c>
      <c r="F14" s="198">
        <f>F13-F11</f>
        <v>0</v>
      </c>
    </row>
    <row r="15" spans="2:7" ht="27" customHeight="1" thickBot="1" x14ac:dyDescent="0.6">
      <c r="B15" s="202" t="str">
        <f>"نکته مهم :     با توجه به مقطع تدریس ("&amp;F7&amp;") و رتبه ("&amp;F9&amp;")، فوق العاده ویژه شما از "&amp;Sheet1!D19&amp;" درصد به "&amp;Sheet1!E17&amp;" درصد افزایش می یابد."</f>
        <v>نکته مهم :     با توجه به مقطع تدریس (ابتدایی) و رتبه (1)، فوق العاده ویژه شما از 10 درصد به 22 درصد افزایش می یابد.</v>
      </c>
      <c r="C15" s="202"/>
      <c r="D15" s="202"/>
      <c r="E15" s="202"/>
      <c r="F15" s="202"/>
    </row>
    <row r="16" spans="2:7" ht="10.5" customHeight="1" thickTop="1" x14ac:dyDescent="0.45">
      <c r="D16" s="168"/>
      <c r="G16" s="201"/>
    </row>
    <row r="17" spans="2:7" ht="24" customHeight="1" x14ac:dyDescent="0.55000000000000004">
      <c r="D17" s="168"/>
      <c r="E17" s="210" t="s">
        <v>166</v>
      </c>
      <c r="F17" s="210"/>
    </row>
    <row r="18" spans="2:7" ht="24" customHeight="1" x14ac:dyDescent="0.45">
      <c r="D18" s="168"/>
      <c r="E18" s="186" t="s">
        <v>165</v>
      </c>
      <c r="F18" s="192" t="s">
        <v>0</v>
      </c>
    </row>
    <row r="19" spans="2:7" ht="24" customHeight="1" x14ac:dyDescent="0.55000000000000004">
      <c r="D19" s="168"/>
      <c r="E19" s="210" t="str">
        <f>IF(F18="امتیاز","امتیاز هرکدام از اقلام حقوق و فوق العاده های مستمر را در کادر مقابل آن درج نمایید.","مبلغ ریالی هرکدام از اقلام حقوق و فوق العاده های مستمر را در کادر مقابل آن درج نمایید.")</f>
        <v>امتیاز هرکدام از اقلام حقوق و فوق العاده های مستمر را در کادر مقابل آن درج نمایید.</v>
      </c>
      <c r="F19" s="210"/>
    </row>
    <row r="20" spans="2:7" ht="24" customHeight="1" x14ac:dyDescent="0.45">
      <c r="D20" s="168"/>
      <c r="E20" s="186" t="str">
        <f>IF(F18="امتیاز","حق شغل (امتیاز)","حق شغل (ریال)")</f>
        <v>حق شغل (امتیاز)</v>
      </c>
      <c r="F20" s="192">
        <v>0</v>
      </c>
    </row>
    <row r="21" spans="2:7" ht="24" customHeight="1" x14ac:dyDescent="0.45">
      <c r="D21" s="168"/>
      <c r="E21" s="186" t="str">
        <f>IF(F18="امتیاز","فوق العاده مدیریت  (امتیاز)","فوق العاده مدیریت  (ریال)")</f>
        <v>فوق العاده مدیریت  (امتیاز)</v>
      </c>
      <c r="F21" s="192">
        <v>0</v>
      </c>
    </row>
    <row r="22" spans="2:7" ht="24" customHeight="1" x14ac:dyDescent="0.45">
      <c r="D22" s="168"/>
      <c r="E22" s="186" t="str">
        <f>IF(F18="امتیاز","حق شاغل  (امتیاز)","حق شاغل  (ریال)")</f>
        <v>حق شاغل  (امتیاز)</v>
      </c>
      <c r="F22" s="192">
        <v>0</v>
      </c>
    </row>
    <row r="23" spans="2:7" ht="24" customHeight="1" x14ac:dyDescent="0.45">
      <c r="D23" s="168"/>
      <c r="E23" s="186" t="str">
        <f>IF(F18="امتیاز","فوق العاده شغل (امتیاز)","فوق العاده شغل (ریال)")</f>
        <v>فوق العاده شغل (امتیاز)</v>
      </c>
      <c r="F23" s="192">
        <v>0</v>
      </c>
    </row>
    <row r="24" spans="2:7" ht="24" customHeight="1" x14ac:dyDescent="0.45">
      <c r="D24" s="168"/>
      <c r="E24" s="186" t="str">
        <f>IF(F18="امتیاز","فوق العاده ایثارگری (امتیاز)","فوق العاده ایثارگری (ریال)")</f>
        <v>فوق العاده ایثارگری (امتیاز)</v>
      </c>
      <c r="F24" s="192">
        <v>0</v>
      </c>
    </row>
    <row r="25" spans="2:7" ht="24" customHeight="1" x14ac:dyDescent="0.45">
      <c r="D25" s="168"/>
      <c r="E25" s="186" t="str">
        <f>IF(F18="امتیاز","فوق العاده سختی کار و کار در محیط غیر متعارف  (امتیاز)","فوق العاده سختی کار و کار در محیط غیر متعارف  (اریال)")</f>
        <v>فوق العاده سختی کار و کار در محیط غیر متعارف  (امتیاز)</v>
      </c>
      <c r="F25" s="192">
        <v>0</v>
      </c>
    </row>
    <row r="26" spans="2:7" ht="24" customHeight="1" x14ac:dyDescent="0.55000000000000004">
      <c r="B26" s="50"/>
      <c r="C26" s="50"/>
      <c r="D26" s="168"/>
      <c r="E26" s="210" t="s">
        <v>164</v>
      </c>
      <c r="F26" s="210">
        <v>0</v>
      </c>
    </row>
    <row r="27" spans="2:7" ht="24" customHeight="1" x14ac:dyDescent="0.45">
      <c r="B27" s="211" t="str">
        <f>IF(Sheet1!G7&gt;20000000,"به نظر می رسد بصورت اشتباه ورود اطلاعات نموده اید، لطفاً مجدداً بررسی فرمایید."," ")</f>
        <v xml:space="preserve"> </v>
      </c>
      <c r="C27" s="211"/>
      <c r="D27" s="168"/>
      <c r="E27" s="186" t="s">
        <v>163</v>
      </c>
      <c r="F27" s="192">
        <v>0</v>
      </c>
      <c r="G27" s="167"/>
    </row>
    <row r="28" spans="2:7" ht="24" customHeight="1" x14ac:dyDescent="0.55000000000000004">
      <c r="B28" s="212"/>
      <c r="C28" s="212"/>
      <c r="D28" s="168"/>
      <c r="E28" s="210" t="s">
        <v>155</v>
      </c>
      <c r="F28" s="210"/>
      <c r="G28" s="167"/>
    </row>
    <row r="29" spans="2:7" ht="30" customHeight="1" x14ac:dyDescent="0.45">
      <c r="B29" s="209" t="s">
        <v>130</v>
      </c>
      <c r="C29" s="209"/>
      <c r="D29" s="168"/>
      <c r="E29" s="193" t="s">
        <v>154</v>
      </c>
      <c r="F29" s="198">
        <f>Sheet1!F5</f>
        <v>0</v>
      </c>
      <c r="G29" s="167"/>
    </row>
    <row r="30" spans="2:7" ht="30" customHeight="1" x14ac:dyDescent="0.45">
      <c r="B30" s="208" t="s">
        <v>140</v>
      </c>
      <c r="C30" s="208"/>
      <c r="D30" s="169"/>
      <c r="E30" s="193" t="s">
        <v>153</v>
      </c>
      <c r="F30" s="198">
        <f>F29-F27</f>
        <v>0</v>
      </c>
    </row>
    <row r="31" spans="2:7" s="162" customFormat="1" ht="21.75" thickBot="1" x14ac:dyDescent="0.6">
      <c r="B31" s="202"/>
      <c r="C31" s="202"/>
      <c r="D31" s="202"/>
      <c r="E31" s="202"/>
      <c r="F31" s="202"/>
    </row>
    <row r="32" spans="2:7" ht="18.75" thickTop="1" x14ac:dyDescent="0.45"/>
    <row r="33" spans="2:7" ht="27.75" x14ac:dyDescent="0.2">
      <c r="B33" s="203" t="s">
        <v>157</v>
      </c>
      <c r="C33" s="204"/>
      <c r="D33" s="170"/>
      <c r="E33" s="203" t="s">
        <v>132</v>
      </c>
      <c r="F33" s="204"/>
    </row>
    <row r="34" spans="2:7" ht="27.75" x14ac:dyDescent="0.2">
      <c r="B34" s="203" t="s">
        <v>131</v>
      </c>
      <c r="C34" s="204"/>
      <c r="D34" s="171"/>
      <c r="E34" s="203" t="s">
        <v>133</v>
      </c>
      <c r="F34" s="204"/>
    </row>
    <row r="35" spans="2:7" s="162" customFormat="1" ht="24" x14ac:dyDescent="0.45">
      <c r="B35" s="196" t="s">
        <v>167</v>
      </c>
      <c r="D35" s="170"/>
    </row>
    <row r="36" spans="2:7" s="162" customFormat="1" ht="24" x14ac:dyDescent="0.45">
      <c r="D36" s="170"/>
      <c r="G36" s="167"/>
    </row>
    <row r="37" spans="2:7" s="162" customFormat="1" x14ac:dyDescent="0.45">
      <c r="B37" s="167"/>
      <c r="C37" s="167"/>
      <c r="D37" s="167"/>
      <c r="E37" s="167"/>
      <c r="F37" s="167"/>
    </row>
    <row r="38" spans="2:7" s="162" customFormat="1" x14ac:dyDescent="0.45">
      <c r="B38" s="167"/>
      <c r="C38" s="167"/>
      <c r="D38" s="167"/>
    </row>
    <row r="39" spans="2:7" s="162" customFormat="1" x14ac:dyDescent="0.45">
      <c r="B39" s="167"/>
      <c r="C39" s="167"/>
      <c r="D39" s="167"/>
    </row>
    <row r="40" spans="2:7" s="162" customFormat="1" x14ac:dyDescent="0.45">
      <c r="B40" s="167"/>
      <c r="C40" s="167"/>
      <c r="D40" s="167"/>
      <c r="E40" s="167"/>
      <c r="F40" s="167"/>
    </row>
    <row r="41" spans="2:7" s="162" customFormat="1" x14ac:dyDescent="0.45">
      <c r="B41" s="167"/>
      <c r="C41" s="167"/>
      <c r="D41" s="167"/>
      <c r="E41" s="167"/>
      <c r="F41" s="167"/>
    </row>
    <row r="42" spans="2:7" s="162" customFormat="1" x14ac:dyDescent="0.45">
      <c r="B42" s="167"/>
      <c r="C42" s="167"/>
      <c r="D42" s="167"/>
      <c r="E42" s="167"/>
      <c r="F42" s="167"/>
    </row>
    <row r="43" spans="2:7" s="162" customFormat="1" x14ac:dyDescent="0.45">
      <c r="B43" s="167"/>
      <c r="C43" s="167"/>
      <c r="D43" s="167"/>
      <c r="E43" s="167"/>
      <c r="F43" s="167"/>
    </row>
    <row r="44" spans="2:7" s="162" customFormat="1" x14ac:dyDescent="0.45">
      <c r="B44" s="167"/>
      <c r="C44" s="167"/>
      <c r="D44" s="167"/>
      <c r="E44" s="167"/>
      <c r="F44" s="167"/>
    </row>
    <row r="45" spans="2:7" s="162" customFormat="1" x14ac:dyDescent="0.45">
      <c r="B45" s="167"/>
      <c r="C45" s="167"/>
      <c r="D45" s="167"/>
      <c r="E45" s="167"/>
      <c r="F45" s="167"/>
    </row>
    <row r="46" spans="2:7" s="162" customFormat="1" x14ac:dyDescent="0.45">
      <c r="B46" s="167"/>
      <c r="C46" s="167"/>
      <c r="D46" s="167"/>
      <c r="E46" s="167"/>
      <c r="F46" s="167"/>
    </row>
    <row r="47" spans="2:7" s="162" customFormat="1" x14ac:dyDescent="0.45">
      <c r="B47" s="167"/>
      <c r="C47" s="167"/>
      <c r="D47" s="167"/>
      <c r="E47" s="167"/>
      <c r="F47" s="167"/>
    </row>
    <row r="48" spans="2:7" s="162" customFormat="1" x14ac:dyDescent="0.45">
      <c r="B48" s="167"/>
      <c r="C48" s="167"/>
      <c r="D48" s="167"/>
      <c r="E48" s="167"/>
      <c r="F48" s="167"/>
    </row>
    <row r="49" spans="2:6" s="162" customFormat="1" x14ac:dyDescent="0.45">
      <c r="B49" s="167"/>
      <c r="C49" s="167"/>
      <c r="D49" s="167"/>
      <c r="E49" s="167"/>
      <c r="F49" s="167"/>
    </row>
    <row r="50" spans="2:6" s="162" customFormat="1" x14ac:dyDescent="0.45">
      <c r="B50" s="167"/>
      <c r="C50" s="167"/>
      <c r="D50" s="167"/>
      <c r="E50" s="167"/>
      <c r="F50" s="167"/>
    </row>
    <row r="51" spans="2:6" s="162" customFormat="1" x14ac:dyDescent="0.45">
      <c r="B51" s="167"/>
      <c r="C51" s="167"/>
      <c r="D51" s="167"/>
      <c r="E51" s="167"/>
      <c r="F51" s="167"/>
    </row>
    <row r="52" spans="2:6" s="162" customFormat="1" x14ac:dyDescent="0.45">
      <c r="B52" s="167"/>
      <c r="C52" s="167"/>
      <c r="D52" s="167"/>
      <c r="E52" s="167"/>
      <c r="F52" s="167"/>
    </row>
    <row r="53" spans="2:6" s="162" customFormat="1" x14ac:dyDescent="0.45">
      <c r="B53" s="167"/>
      <c r="C53" s="167"/>
      <c r="D53" s="167"/>
      <c r="E53" s="167"/>
      <c r="F53" s="167"/>
    </row>
    <row r="54" spans="2:6" s="162" customFormat="1" x14ac:dyDescent="0.45">
      <c r="B54" s="167"/>
      <c r="C54" s="167"/>
      <c r="D54" s="167"/>
      <c r="E54" s="167"/>
      <c r="F54" s="167"/>
    </row>
    <row r="55" spans="2:6" s="162" customFormat="1" x14ac:dyDescent="0.45">
      <c r="B55" s="167"/>
      <c r="C55" s="167"/>
      <c r="D55" s="167"/>
      <c r="E55" s="167"/>
      <c r="F55" s="167"/>
    </row>
    <row r="56" spans="2:6" s="162" customFormat="1" x14ac:dyDescent="0.45">
      <c r="B56" s="167"/>
      <c r="C56" s="167"/>
      <c r="D56" s="167"/>
      <c r="E56" s="167"/>
      <c r="F56" s="167"/>
    </row>
    <row r="57" spans="2:6" s="162" customFormat="1" x14ac:dyDescent="0.45">
      <c r="B57" s="167"/>
      <c r="C57" s="167"/>
      <c r="D57" s="167"/>
      <c r="E57" s="167"/>
      <c r="F57" s="167"/>
    </row>
    <row r="58" spans="2:6" s="162" customFormat="1" x14ac:dyDescent="0.45">
      <c r="B58" s="167"/>
      <c r="C58" s="167"/>
      <c r="D58" s="167"/>
      <c r="E58" s="167"/>
      <c r="F58" s="167"/>
    </row>
    <row r="59" spans="2:6" s="162" customFormat="1" x14ac:dyDescent="0.45">
      <c r="B59" s="167"/>
      <c r="C59" s="167"/>
      <c r="D59" s="167"/>
      <c r="E59" s="167"/>
      <c r="F59" s="167"/>
    </row>
    <row r="60" spans="2:6" s="162" customFormat="1" x14ac:dyDescent="0.45">
      <c r="B60" s="167"/>
      <c r="C60" s="167"/>
      <c r="D60" s="167"/>
      <c r="E60" s="167"/>
      <c r="F60" s="167"/>
    </row>
    <row r="61" spans="2:6" s="162" customFormat="1" x14ac:dyDescent="0.45">
      <c r="B61" s="167"/>
      <c r="C61" s="167"/>
      <c r="D61" s="167"/>
      <c r="E61" s="167"/>
      <c r="F61" s="167"/>
    </row>
    <row r="62" spans="2:6" s="162" customFormat="1" x14ac:dyDescent="0.45">
      <c r="B62" s="167"/>
      <c r="C62" s="167"/>
      <c r="D62" s="167"/>
      <c r="E62" s="167"/>
      <c r="F62" s="167"/>
    </row>
    <row r="63" spans="2:6" s="162" customFormat="1" x14ac:dyDescent="0.45">
      <c r="B63" s="167"/>
      <c r="C63" s="167"/>
      <c r="D63" s="167"/>
      <c r="E63" s="167"/>
      <c r="F63" s="167"/>
    </row>
    <row r="64" spans="2:6" s="162" customFormat="1" x14ac:dyDescent="0.45">
      <c r="B64" s="167"/>
      <c r="C64" s="167"/>
      <c r="D64" s="167"/>
      <c r="E64" s="167"/>
      <c r="F64" s="167"/>
    </row>
    <row r="65" spans="2:6" s="162" customFormat="1" x14ac:dyDescent="0.45">
      <c r="B65" s="167"/>
      <c r="C65" s="167"/>
      <c r="D65" s="167"/>
      <c r="E65" s="167"/>
      <c r="F65" s="167"/>
    </row>
    <row r="66" spans="2:6" s="162" customFormat="1" x14ac:dyDescent="0.45">
      <c r="B66" s="167"/>
      <c r="C66" s="167"/>
      <c r="D66" s="167"/>
      <c r="E66" s="167"/>
      <c r="F66" s="167"/>
    </row>
    <row r="67" spans="2:6" s="162" customFormat="1" x14ac:dyDescent="0.45">
      <c r="B67" s="167"/>
      <c r="C67" s="167"/>
      <c r="D67" s="167"/>
      <c r="E67" s="167"/>
      <c r="F67" s="167"/>
    </row>
    <row r="68" spans="2:6" s="162" customFormat="1" x14ac:dyDescent="0.45">
      <c r="B68" s="167"/>
      <c r="C68" s="167"/>
      <c r="D68" s="167"/>
      <c r="E68" s="167"/>
      <c r="F68" s="167"/>
    </row>
    <row r="69" spans="2:6" s="162" customFormat="1" x14ac:dyDescent="0.45">
      <c r="B69" s="167"/>
      <c r="C69" s="167"/>
      <c r="D69" s="167"/>
      <c r="E69" s="167"/>
      <c r="F69" s="167"/>
    </row>
    <row r="70" spans="2:6" s="162" customFormat="1" x14ac:dyDescent="0.45">
      <c r="B70" s="167"/>
      <c r="C70" s="167"/>
      <c r="D70" s="167"/>
      <c r="E70" s="167"/>
      <c r="F70" s="167"/>
    </row>
    <row r="71" spans="2:6" s="162" customFormat="1" x14ac:dyDescent="0.45">
      <c r="B71" s="167"/>
      <c r="C71" s="167"/>
      <c r="D71" s="167"/>
      <c r="E71" s="167"/>
      <c r="F71" s="167"/>
    </row>
    <row r="72" spans="2:6" s="162" customFormat="1" x14ac:dyDescent="0.45">
      <c r="B72" s="167"/>
      <c r="C72" s="167"/>
      <c r="D72" s="167"/>
      <c r="E72" s="167"/>
      <c r="F72" s="167"/>
    </row>
    <row r="73" spans="2:6" s="162" customFormat="1" x14ac:dyDescent="0.45">
      <c r="B73" s="167"/>
      <c r="C73" s="167"/>
      <c r="D73" s="167"/>
      <c r="E73" s="167"/>
      <c r="F73" s="167"/>
    </row>
    <row r="74" spans="2:6" s="162" customFormat="1" x14ac:dyDescent="0.45">
      <c r="B74" s="167"/>
      <c r="C74" s="167"/>
      <c r="D74" s="167"/>
      <c r="E74" s="167"/>
      <c r="F74" s="167"/>
    </row>
    <row r="75" spans="2:6" s="162" customFormat="1" x14ac:dyDescent="0.45">
      <c r="B75" s="167"/>
      <c r="C75" s="167"/>
      <c r="D75" s="167"/>
      <c r="E75" s="167"/>
      <c r="F75" s="167"/>
    </row>
    <row r="76" spans="2:6" s="162" customFormat="1" x14ac:dyDescent="0.45">
      <c r="B76" s="167"/>
      <c r="C76" s="167"/>
      <c r="D76" s="167"/>
      <c r="E76" s="167"/>
      <c r="F76" s="167"/>
    </row>
    <row r="77" spans="2:6" s="162" customFormat="1" x14ac:dyDescent="0.45">
      <c r="B77" s="167"/>
      <c r="C77" s="167"/>
      <c r="D77" s="167"/>
      <c r="E77" s="167"/>
      <c r="F77" s="167"/>
    </row>
    <row r="78" spans="2:6" s="162" customFormat="1" x14ac:dyDescent="0.45">
      <c r="B78" s="167"/>
      <c r="C78" s="167"/>
      <c r="D78" s="167"/>
      <c r="E78" s="167"/>
      <c r="F78" s="167"/>
    </row>
    <row r="79" spans="2:6" s="162" customFormat="1" x14ac:dyDescent="0.45">
      <c r="B79" s="167"/>
      <c r="C79" s="167"/>
      <c r="D79" s="167"/>
      <c r="E79" s="167"/>
      <c r="F79" s="167"/>
    </row>
    <row r="80" spans="2:6" s="162" customFormat="1" x14ac:dyDescent="0.45">
      <c r="B80" s="167"/>
      <c r="C80" s="167"/>
      <c r="D80" s="167"/>
      <c r="E80" s="167"/>
      <c r="F80" s="167"/>
    </row>
    <row r="81" spans="2:6" s="162" customFormat="1" x14ac:dyDescent="0.45">
      <c r="B81" s="167"/>
      <c r="C81" s="167"/>
      <c r="D81" s="167"/>
      <c r="E81" s="167"/>
      <c r="F81" s="167"/>
    </row>
    <row r="82" spans="2:6" s="162" customFormat="1" x14ac:dyDescent="0.45">
      <c r="B82" s="167"/>
      <c r="C82" s="167"/>
      <c r="D82" s="167"/>
      <c r="E82" s="167"/>
      <c r="F82" s="167"/>
    </row>
    <row r="83" spans="2:6" s="162" customFormat="1" x14ac:dyDescent="0.45">
      <c r="B83" s="167"/>
      <c r="C83" s="167"/>
      <c r="D83" s="167"/>
      <c r="E83" s="167"/>
      <c r="F83" s="167"/>
    </row>
    <row r="84" spans="2:6" s="162" customFormat="1" x14ac:dyDescent="0.45">
      <c r="B84" s="167"/>
      <c r="C84" s="167"/>
      <c r="D84" s="167"/>
      <c r="E84" s="167"/>
      <c r="F84" s="167"/>
    </row>
    <row r="85" spans="2:6" s="162" customFormat="1" x14ac:dyDescent="0.45">
      <c r="B85" s="167"/>
      <c r="C85" s="167"/>
      <c r="D85" s="167"/>
      <c r="E85" s="167"/>
      <c r="F85" s="167"/>
    </row>
    <row r="86" spans="2:6" s="162" customFormat="1" x14ac:dyDescent="0.45">
      <c r="B86" s="167"/>
      <c r="C86" s="167"/>
      <c r="D86" s="167"/>
      <c r="E86" s="167"/>
      <c r="F86" s="167"/>
    </row>
    <row r="87" spans="2:6" s="162" customFormat="1" x14ac:dyDescent="0.45">
      <c r="B87" s="167"/>
      <c r="C87" s="167"/>
      <c r="D87" s="167"/>
      <c r="E87" s="167"/>
      <c r="F87" s="167"/>
    </row>
    <row r="88" spans="2:6" s="162" customFormat="1" x14ac:dyDescent="0.45">
      <c r="B88" s="167"/>
      <c r="C88" s="167"/>
      <c r="D88" s="167"/>
      <c r="E88" s="167"/>
      <c r="F88" s="167"/>
    </row>
    <row r="89" spans="2:6" s="162" customFormat="1" x14ac:dyDescent="0.45">
      <c r="B89" s="167"/>
      <c r="C89" s="167"/>
      <c r="D89" s="167"/>
      <c r="E89" s="167"/>
      <c r="F89" s="167"/>
    </row>
    <row r="90" spans="2:6" s="162" customFormat="1" x14ac:dyDescent="0.45">
      <c r="B90" s="167"/>
      <c r="C90" s="167"/>
      <c r="D90" s="167"/>
      <c r="E90" s="167"/>
      <c r="F90" s="167"/>
    </row>
    <row r="91" spans="2:6" s="162" customFormat="1" x14ac:dyDescent="0.45">
      <c r="B91" s="167"/>
      <c r="C91" s="167"/>
      <c r="D91" s="167"/>
      <c r="E91" s="167"/>
      <c r="F91" s="167"/>
    </row>
    <row r="92" spans="2:6" s="162" customFormat="1" x14ac:dyDescent="0.45">
      <c r="B92" s="167"/>
      <c r="C92" s="167"/>
      <c r="D92" s="167"/>
      <c r="E92" s="167"/>
      <c r="F92" s="167"/>
    </row>
    <row r="93" spans="2:6" s="162" customFormat="1" x14ac:dyDescent="0.45">
      <c r="B93" s="167"/>
      <c r="C93" s="167"/>
      <c r="D93" s="167"/>
      <c r="E93" s="167"/>
      <c r="F93" s="167"/>
    </row>
    <row r="94" spans="2:6" s="162" customFormat="1" x14ac:dyDescent="0.45">
      <c r="B94" s="167"/>
      <c r="C94" s="167"/>
      <c r="D94" s="167"/>
      <c r="E94" s="167"/>
      <c r="F94" s="167"/>
    </row>
    <row r="95" spans="2:6" s="162" customFormat="1" x14ac:dyDescent="0.45">
      <c r="B95" s="167"/>
      <c r="C95" s="167"/>
      <c r="D95" s="167"/>
      <c r="E95" s="167"/>
      <c r="F95" s="167"/>
    </row>
    <row r="96" spans="2:6" s="162" customFormat="1" x14ac:dyDescent="0.45">
      <c r="B96" s="167"/>
      <c r="C96" s="167"/>
      <c r="D96" s="167"/>
      <c r="E96" s="167"/>
      <c r="F96" s="167"/>
    </row>
    <row r="97" spans="2:6" s="162" customFormat="1" x14ac:dyDescent="0.45">
      <c r="B97" s="167"/>
      <c r="C97" s="167"/>
      <c r="D97" s="167"/>
      <c r="E97" s="167"/>
      <c r="F97" s="167"/>
    </row>
    <row r="98" spans="2:6" s="162" customFormat="1" x14ac:dyDescent="0.45">
      <c r="B98" s="167"/>
      <c r="C98" s="167"/>
      <c r="D98" s="167"/>
      <c r="E98" s="167"/>
      <c r="F98" s="167"/>
    </row>
    <row r="99" spans="2:6" s="162" customFormat="1" x14ac:dyDescent="0.45">
      <c r="B99" s="167"/>
      <c r="C99" s="167"/>
      <c r="D99" s="167"/>
      <c r="E99" s="167"/>
      <c r="F99" s="167"/>
    </row>
    <row r="100" spans="2:6" s="162" customFormat="1" x14ac:dyDescent="0.45">
      <c r="B100" s="167"/>
      <c r="C100" s="167"/>
      <c r="D100" s="167"/>
      <c r="E100" s="167"/>
      <c r="F100" s="167"/>
    </row>
    <row r="101" spans="2:6" s="162" customFormat="1" x14ac:dyDescent="0.45">
      <c r="B101" s="167"/>
      <c r="C101" s="167"/>
      <c r="D101" s="167"/>
      <c r="E101" s="167"/>
      <c r="F101" s="167"/>
    </row>
    <row r="102" spans="2:6" s="162" customFormat="1" x14ac:dyDescent="0.45">
      <c r="B102" s="167"/>
      <c r="C102" s="167"/>
      <c r="D102" s="167"/>
      <c r="E102" s="167"/>
      <c r="F102" s="167"/>
    </row>
    <row r="103" spans="2:6" s="162" customFormat="1" x14ac:dyDescent="0.45">
      <c r="B103" s="167"/>
      <c r="C103" s="167"/>
      <c r="D103" s="167"/>
      <c r="E103" s="167"/>
      <c r="F103" s="167"/>
    </row>
    <row r="104" spans="2:6" s="162" customFormat="1" x14ac:dyDescent="0.45">
      <c r="B104" s="167"/>
      <c r="C104" s="167"/>
      <c r="D104" s="167"/>
      <c r="E104" s="167"/>
      <c r="F104" s="167"/>
    </row>
    <row r="105" spans="2:6" s="162" customFormat="1" x14ac:dyDescent="0.45">
      <c r="B105" s="167"/>
      <c r="C105" s="167"/>
      <c r="D105" s="167"/>
      <c r="E105" s="167"/>
      <c r="F105" s="167"/>
    </row>
    <row r="106" spans="2:6" s="162" customFormat="1" x14ac:dyDescent="0.45">
      <c r="B106" s="167"/>
      <c r="C106" s="167"/>
      <c r="D106" s="167"/>
      <c r="E106" s="167"/>
      <c r="F106" s="167"/>
    </row>
    <row r="107" spans="2:6" s="162" customFormat="1" x14ac:dyDescent="0.45">
      <c r="B107" s="167"/>
      <c r="C107" s="167"/>
      <c r="D107" s="167"/>
      <c r="E107" s="167"/>
      <c r="F107" s="167"/>
    </row>
    <row r="108" spans="2:6" s="162" customFormat="1" x14ac:dyDescent="0.45">
      <c r="B108" s="167"/>
      <c r="C108" s="167"/>
      <c r="D108" s="167"/>
      <c r="E108" s="167"/>
      <c r="F108" s="167"/>
    </row>
    <row r="109" spans="2:6" s="162" customFormat="1" x14ac:dyDescent="0.45">
      <c r="B109" s="167"/>
      <c r="C109" s="167"/>
      <c r="D109" s="167"/>
      <c r="E109" s="167"/>
      <c r="F109" s="167"/>
    </row>
    <row r="110" spans="2:6" s="162" customFormat="1" x14ac:dyDescent="0.45">
      <c r="B110" s="167"/>
      <c r="C110" s="167"/>
      <c r="D110" s="167"/>
      <c r="E110" s="167"/>
      <c r="F110" s="167"/>
    </row>
    <row r="111" spans="2:6" s="162" customFormat="1" x14ac:dyDescent="0.45">
      <c r="B111" s="167"/>
      <c r="C111" s="167"/>
      <c r="D111" s="167"/>
      <c r="E111" s="167"/>
      <c r="F111" s="167"/>
    </row>
    <row r="112" spans="2:6" s="162" customFormat="1" x14ac:dyDescent="0.45">
      <c r="B112" s="167"/>
      <c r="C112" s="167"/>
      <c r="D112" s="167"/>
      <c r="E112" s="167"/>
      <c r="F112" s="167"/>
    </row>
    <row r="113" spans="2:6" s="162" customFormat="1" x14ac:dyDescent="0.45">
      <c r="B113" s="167"/>
      <c r="C113" s="167"/>
      <c r="D113" s="167"/>
      <c r="E113" s="167"/>
      <c r="F113" s="167"/>
    </row>
    <row r="114" spans="2:6" s="162" customFormat="1" x14ac:dyDescent="0.45">
      <c r="B114" s="167"/>
      <c r="C114" s="167"/>
      <c r="D114" s="167"/>
      <c r="E114" s="167"/>
      <c r="F114" s="167"/>
    </row>
    <row r="115" spans="2:6" s="162" customFormat="1" x14ac:dyDescent="0.45">
      <c r="B115" s="167"/>
      <c r="C115" s="167"/>
      <c r="D115" s="167"/>
      <c r="E115" s="167"/>
      <c r="F115" s="167"/>
    </row>
    <row r="116" spans="2:6" s="162" customFormat="1" x14ac:dyDescent="0.45">
      <c r="B116" s="167"/>
      <c r="C116" s="167"/>
      <c r="D116" s="167"/>
      <c r="E116" s="167"/>
      <c r="F116" s="167"/>
    </row>
    <row r="117" spans="2:6" s="162" customFormat="1" x14ac:dyDescent="0.45">
      <c r="B117" s="167"/>
      <c r="C117" s="167"/>
      <c r="D117" s="167"/>
      <c r="E117" s="167"/>
      <c r="F117" s="167"/>
    </row>
    <row r="118" spans="2:6" s="162" customFormat="1" x14ac:dyDescent="0.45">
      <c r="B118" s="167"/>
      <c r="C118" s="167"/>
      <c r="D118" s="167"/>
      <c r="E118" s="167"/>
      <c r="F118" s="167"/>
    </row>
    <row r="119" spans="2:6" s="162" customFormat="1" x14ac:dyDescent="0.45">
      <c r="B119" s="167"/>
      <c r="C119" s="167"/>
      <c r="D119" s="167"/>
      <c r="E119" s="167"/>
      <c r="F119" s="167"/>
    </row>
    <row r="120" spans="2:6" s="162" customFormat="1" x14ac:dyDescent="0.45">
      <c r="B120" s="167"/>
      <c r="C120" s="167"/>
      <c r="D120" s="167"/>
      <c r="E120" s="167"/>
      <c r="F120" s="167"/>
    </row>
    <row r="121" spans="2:6" s="162" customFormat="1" x14ac:dyDescent="0.45">
      <c r="B121" s="167"/>
      <c r="C121" s="167"/>
      <c r="D121" s="167"/>
      <c r="E121" s="167"/>
      <c r="F121" s="167"/>
    </row>
    <row r="122" spans="2:6" s="162" customFormat="1" x14ac:dyDescent="0.45">
      <c r="B122" s="167"/>
      <c r="C122" s="167"/>
      <c r="D122" s="167"/>
      <c r="E122" s="167"/>
      <c r="F122" s="167"/>
    </row>
    <row r="123" spans="2:6" s="162" customFormat="1" x14ac:dyDescent="0.45">
      <c r="B123" s="167"/>
      <c r="C123" s="167"/>
      <c r="D123" s="167"/>
      <c r="E123" s="167"/>
      <c r="F123" s="167"/>
    </row>
    <row r="124" spans="2:6" s="162" customFormat="1" x14ac:dyDescent="0.45">
      <c r="B124" s="167"/>
      <c r="C124" s="167"/>
      <c r="D124" s="167"/>
      <c r="E124" s="167"/>
      <c r="F124" s="167"/>
    </row>
    <row r="125" spans="2:6" s="162" customFormat="1" x14ac:dyDescent="0.45">
      <c r="B125" s="167"/>
      <c r="C125" s="167"/>
      <c r="D125" s="167"/>
      <c r="E125" s="167"/>
      <c r="F125" s="167"/>
    </row>
    <row r="126" spans="2:6" s="162" customFormat="1" x14ac:dyDescent="0.45">
      <c r="B126" s="167"/>
      <c r="C126" s="167"/>
      <c r="D126" s="167"/>
      <c r="E126" s="167"/>
      <c r="F126" s="167"/>
    </row>
    <row r="127" spans="2:6" s="162" customFormat="1" x14ac:dyDescent="0.45">
      <c r="B127" s="167"/>
      <c r="C127" s="167"/>
      <c r="D127" s="167"/>
      <c r="E127" s="167"/>
      <c r="F127" s="167"/>
    </row>
    <row r="128" spans="2:6" s="162" customFormat="1" x14ac:dyDescent="0.45">
      <c r="B128" s="167"/>
      <c r="C128" s="167"/>
      <c r="D128" s="167"/>
      <c r="E128" s="167"/>
      <c r="F128" s="167"/>
    </row>
    <row r="129" spans="2:6" s="162" customFormat="1" x14ac:dyDescent="0.45">
      <c r="B129" s="167"/>
      <c r="C129" s="167"/>
      <c r="D129" s="167"/>
      <c r="E129" s="167"/>
      <c r="F129" s="167"/>
    </row>
    <row r="130" spans="2:6" s="162" customFormat="1" x14ac:dyDescent="0.45">
      <c r="B130" s="167"/>
      <c r="C130" s="167"/>
      <c r="D130" s="167"/>
      <c r="E130" s="167"/>
      <c r="F130" s="167"/>
    </row>
    <row r="131" spans="2:6" s="162" customFormat="1" x14ac:dyDescent="0.45">
      <c r="B131" s="167"/>
      <c r="C131" s="167"/>
      <c r="D131" s="167"/>
      <c r="E131" s="167"/>
      <c r="F131" s="167"/>
    </row>
    <row r="132" spans="2:6" s="162" customFormat="1" x14ac:dyDescent="0.45">
      <c r="B132" s="167"/>
      <c r="C132" s="167"/>
      <c r="D132" s="167"/>
      <c r="E132" s="167"/>
      <c r="F132" s="167"/>
    </row>
    <row r="133" spans="2:6" s="162" customFormat="1" x14ac:dyDescent="0.45">
      <c r="B133" s="167"/>
      <c r="C133" s="167"/>
      <c r="D133" s="167"/>
      <c r="E133" s="167"/>
      <c r="F133" s="167"/>
    </row>
    <row r="134" spans="2:6" s="162" customFormat="1" x14ac:dyDescent="0.45">
      <c r="B134" s="167"/>
      <c r="C134" s="167"/>
      <c r="D134" s="167"/>
      <c r="E134" s="167"/>
      <c r="F134" s="167"/>
    </row>
    <row r="135" spans="2:6" s="162" customFormat="1" x14ac:dyDescent="0.45">
      <c r="B135" s="167"/>
      <c r="C135" s="167"/>
      <c r="D135" s="167"/>
      <c r="E135" s="167"/>
      <c r="F135" s="167"/>
    </row>
    <row r="136" spans="2:6" s="162" customFormat="1" x14ac:dyDescent="0.45">
      <c r="B136" s="167"/>
      <c r="C136" s="167"/>
      <c r="D136" s="167"/>
      <c r="E136" s="167"/>
      <c r="F136" s="167"/>
    </row>
    <row r="137" spans="2:6" s="162" customFormat="1" x14ac:dyDescent="0.45">
      <c r="B137" s="167"/>
      <c r="C137" s="167"/>
      <c r="D137" s="167"/>
      <c r="E137" s="167"/>
      <c r="F137" s="167"/>
    </row>
    <row r="138" spans="2:6" s="162" customFormat="1" x14ac:dyDescent="0.45">
      <c r="B138" s="167"/>
      <c r="C138" s="167"/>
      <c r="D138" s="167"/>
      <c r="E138" s="167"/>
      <c r="F138" s="167"/>
    </row>
    <row r="139" spans="2:6" s="162" customFormat="1" x14ac:dyDescent="0.45">
      <c r="B139" s="167"/>
      <c r="C139" s="167"/>
      <c r="D139" s="167"/>
      <c r="E139" s="167"/>
      <c r="F139" s="167"/>
    </row>
    <row r="140" spans="2:6" s="162" customFormat="1" x14ac:dyDescent="0.45">
      <c r="B140" s="167"/>
      <c r="C140" s="167"/>
      <c r="D140" s="167"/>
      <c r="E140" s="167"/>
      <c r="F140" s="167"/>
    </row>
    <row r="141" spans="2:6" s="162" customFormat="1" x14ac:dyDescent="0.45">
      <c r="B141" s="167"/>
      <c r="C141" s="167"/>
      <c r="D141" s="167"/>
      <c r="E141" s="167"/>
      <c r="F141" s="167"/>
    </row>
    <row r="142" spans="2:6" s="162" customFormat="1" x14ac:dyDescent="0.45">
      <c r="B142" s="167"/>
      <c r="C142" s="167"/>
      <c r="D142" s="167"/>
      <c r="E142" s="167"/>
      <c r="F142" s="167"/>
    </row>
    <row r="143" spans="2:6" s="162" customFormat="1" x14ac:dyDescent="0.45">
      <c r="B143" s="167"/>
      <c r="C143" s="167"/>
      <c r="D143" s="167"/>
      <c r="E143" s="167"/>
      <c r="F143" s="167"/>
    </row>
    <row r="144" spans="2:6" s="162" customFormat="1" x14ac:dyDescent="0.45">
      <c r="B144" s="167"/>
      <c r="C144" s="167"/>
      <c r="D144" s="167"/>
      <c r="E144" s="167"/>
      <c r="F144" s="167"/>
    </row>
    <row r="145" spans="2:6" s="162" customFormat="1" x14ac:dyDescent="0.45">
      <c r="B145" s="167"/>
      <c r="C145" s="167"/>
      <c r="D145" s="167"/>
      <c r="E145" s="167"/>
      <c r="F145" s="167"/>
    </row>
    <row r="146" spans="2:6" s="162" customFormat="1" x14ac:dyDescent="0.45">
      <c r="B146" s="167"/>
      <c r="C146" s="167"/>
      <c r="D146" s="167"/>
      <c r="E146" s="167"/>
      <c r="F146" s="167"/>
    </row>
    <row r="147" spans="2:6" s="162" customFormat="1" x14ac:dyDescent="0.45">
      <c r="B147" s="167"/>
      <c r="C147" s="167"/>
      <c r="D147" s="167"/>
      <c r="E147" s="167"/>
      <c r="F147" s="167"/>
    </row>
    <row r="148" spans="2:6" s="162" customFormat="1" x14ac:dyDescent="0.45">
      <c r="B148" s="167"/>
      <c r="C148" s="167"/>
      <c r="D148" s="167"/>
      <c r="E148" s="167"/>
      <c r="F148" s="167"/>
    </row>
    <row r="149" spans="2:6" s="162" customFormat="1" x14ac:dyDescent="0.45">
      <c r="B149" s="167"/>
      <c r="C149" s="167"/>
      <c r="D149" s="167"/>
      <c r="E149" s="167"/>
      <c r="F149" s="167"/>
    </row>
    <row r="150" spans="2:6" s="162" customFormat="1" x14ac:dyDescent="0.45">
      <c r="B150" s="167"/>
      <c r="C150" s="167"/>
      <c r="D150" s="167"/>
      <c r="E150" s="167"/>
      <c r="F150" s="167"/>
    </row>
    <row r="151" spans="2:6" s="162" customFormat="1" x14ac:dyDescent="0.45">
      <c r="B151" s="167"/>
      <c r="C151" s="167"/>
      <c r="D151" s="167"/>
      <c r="E151" s="167"/>
      <c r="F151" s="167"/>
    </row>
    <row r="152" spans="2:6" s="162" customFormat="1" x14ac:dyDescent="0.45">
      <c r="B152" s="167"/>
      <c r="C152" s="167"/>
      <c r="D152" s="167"/>
      <c r="E152" s="167"/>
      <c r="F152" s="167"/>
    </row>
    <row r="153" spans="2:6" s="162" customFormat="1" x14ac:dyDescent="0.45">
      <c r="B153" s="167"/>
      <c r="C153" s="167"/>
      <c r="D153" s="167"/>
      <c r="E153" s="167"/>
      <c r="F153" s="167"/>
    </row>
    <row r="154" spans="2:6" s="162" customFormat="1" x14ac:dyDescent="0.45">
      <c r="B154" s="167"/>
      <c r="C154" s="167"/>
      <c r="D154" s="167"/>
      <c r="E154" s="167"/>
      <c r="F154" s="167"/>
    </row>
    <row r="155" spans="2:6" s="162" customFormat="1" x14ac:dyDescent="0.45">
      <c r="B155" s="167"/>
      <c r="C155" s="167"/>
      <c r="D155" s="167"/>
      <c r="E155" s="167"/>
      <c r="F155" s="167"/>
    </row>
    <row r="156" spans="2:6" s="162" customFormat="1" x14ac:dyDescent="0.45">
      <c r="B156" s="167"/>
      <c r="C156" s="167"/>
      <c r="D156" s="167"/>
      <c r="E156" s="167"/>
      <c r="F156" s="167"/>
    </row>
    <row r="157" spans="2:6" s="162" customFormat="1" x14ac:dyDescent="0.45">
      <c r="B157" s="167"/>
      <c r="C157" s="167"/>
      <c r="D157" s="167"/>
      <c r="E157" s="167"/>
      <c r="F157" s="167"/>
    </row>
    <row r="158" spans="2:6" s="162" customFormat="1" x14ac:dyDescent="0.45">
      <c r="B158" s="167"/>
      <c r="C158" s="167"/>
      <c r="D158" s="167"/>
      <c r="E158" s="167"/>
      <c r="F158" s="167"/>
    </row>
    <row r="159" spans="2:6" s="162" customFormat="1" x14ac:dyDescent="0.45">
      <c r="B159" s="167"/>
      <c r="C159" s="167"/>
      <c r="D159" s="167"/>
      <c r="E159" s="167"/>
      <c r="F159" s="167"/>
    </row>
    <row r="160" spans="2:6" s="162" customFormat="1" x14ac:dyDescent="0.45">
      <c r="B160" s="167"/>
      <c r="C160" s="167"/>
      <c r="D160" s="167"/>
      <c r="E160" s="167"/>
      <c r="F160" s="167"/>
    </row>
    <row r="161" spans="2:6" s="162" customFormat="1" x14ac:dyDescent="0.45">
      <c r="B161" s="167"/>
      <c r="C161" s="167"/>
      <c r="D161" s="167"/>
      <c r="E161" s="167"/>
      <c r="F161" s="167"/>
    </row>
    <row r="162" spans="2:6" s="162" customFormat="1" x14ac:dyDescent="0.45">
      <c r="B162" s="167"/>
      <c r="C162" s="167"/>
      <c r="D162" s="167"/>
      <c r="E162" s="167"/>
      <c r="F162" s="167"/>
    </row>
    <row r="163" spans="2:6" s="162" customFormat="1" x14ac:dyDescent="0.45">
      <c r="B163" s="167"/>
      <c r="C163" s="167"/>
      <c r="D163" s="167"/>
      <c r="E163" s="167"/>
      <c r="F163" s="167"/>
    </row>
    <row r="164" spans="2:6" s="162" customFormat="1" x14ac:dyDescent="0.45">
      <c r="B164" s="167"/>
      <c r="C164" s="167"/>
      <c r="D164" s="167"/>
      <c r="E164" s="167"/>
      <c r="F164" s="167"/>
    </row>
    <row r="165" spans="2:6" s="162" customFormat="1" x14ac:dyDescent="0.45">
      <c r="B165" s="167"/>
      <c r="C165" s="167"/>
      <c r="D165" s="167"/>
      <c r="E165" s="167"/>
      <c r="F165" s="167"/>
    </row>
    <row r="166" spans="2:6" s="162" customFormat="1" x14ac:dyDescent="0.45">
      <c r="B166" s="167"/>
      <c r="C166" s="167"/>
      <c r="D166" s="167"/>
      <c r="E166" s="167"/>
      <c r="F166" s="167"/>
    </row>
    <row r="167" spans="2:6" s="162" customFormat="1" x14ac:dyDescent="0.45">
      <c r="B167" s="167"/>
      <c r="C167" s="167"/>
      <c r="D167" s="167"/>
      <c r="E167" s="167"/>
      <c r="F167" s="167"/>
    </row>
    <row r="168" spans="2:6" s="162" customFormat="1" x14ac:dyDescent="0.45">
      <c r="B168" s="167"/>
      <c r="C168" s="167"/>
      <c r="D168" s="167"/>
      <c r="E168" s="167"/>
      <c r="F168" s="167"/>
    </row>
    <row r="169" spans="2:6" s="162" customFormat="1" x14ac:dyDescent="0.45">
      <c r="B169" s="167"/>
      <c r="C169" s="167"/>
      <c r="D169" s="167"/>
      <c r="E169" s="167"/>
      <c r="F169" s="167"/>
    </row>
    <row r="170" spans="2:6" s="162" customFormat="1" x14ac:dyDescent="0.45">
      <c r="B170" s="167"/>
      <c r="C170" s="167"/>
      <c r="D170" s="167"/>
      <c r="E170" s="167"/>
      <c r="F170" s="167"/>
    </row>
    <row r="171" spans="2:6" s="162" customFormat="1" x14ac:dyDescent="0.45">
      <c r="B171" s="167"/>
      <c r="C171" s="167"/>
      <c r="D171" s="167"/>
      <c r="E171" s="167"/>
      <c r="F171" s="167"/>
    </row>
    <row r="172" spans="2:6" s="162" customFormat="1" x14ac:dyDescent="0.45">
      <c r="B172" s="167"/>
      <c r="C172" s="167"/>
      <c r="D172" s="167"/>
      <c r="E172" s="167"/>
      <c r="F172" s="167"/>
    </row>
    <row r="173" spans="2:6" s="162" customFormat="1" x14ac:dyDescent="0.45">
      <c r="B173" s="167"/>
      <c r="C173" s="167"/>
      <c r="D173" s="167"/>
      <c r="E173" s="167"/>
      <c r="F173" s="167"/>
    </row>
    <row r="174" spans="2:6" s="162" customFormat="1" x14ac:dyDescent="0.45">
      <c r="B174" s="167"/>
      <c r="C174" s="167"/>
      <c r="D174" s="167"/>
      <c r="E174" s="167"/>
      <c r="F174" s="167"/>
    </row>
    <row r="175" spans="2:6" s="162" customFormat="1" x14ac:dyDescent="0.45">
      <c r="B175" s="167"/>
      <c r="C175" s="167"/>
      <c r="D175" s="167"/>
      <c r="E175" s="167"/>
      <c r="F175" s="167"/>
    </row>
    <row r="176" spans="2:6" s="162" customFormat="1" x14ac:dyDescent="0.45">
      <c r="B176" s="167"/>
      <c r="C176" s="167"/>
      <c r="D176" s="167"/>
      <c r="E176" s="167"/>
      <c r="F176" s="167"/>
    </row>
    <row r="177" spans="2:6" s="162" customFormat="1" x14ac:dyDescent="0.45">
      <c r="B177" s="167"/>
      <c r="C177" s="167"/>
      <c r="D177" s="167"/>
      <c r="E177" s="167"/>
      <c r="F177" s="167"/>
    </row>
    <row r="178" spans="2:6" s="162" customFormat="1" x14ac:dyDescent="0.45">
      <c r="B178" s="167"/>
      <c r="C178" s="167"/>
      <c r="D178" s="167"/>
      <c r="E178" s="167"/>
      <c r="F178" s="167"/>
    </row>
    <row r="179" spans="2:6" s="162" customFormat="1" x14ac:dyDescent="0.45">
      <c r="B179" s="167"/>
      <c r="C179" s="167"/>
      <c r="D179" s="167"/>
      <c r="E179" s="167"/>
      <c r="F179" s="167"/>
    </row>
    <row r="180" spans="2:6" s="162" customFormat="1" x14ac:dyDescent="0.45">
      <c r="B180" s="167"/>
      <c r="C180" s="167"/>
      <c r="D180" s="167"/>
      <c r="E180" s="167"/>
      <c r="F180" s="167"/>
    </row>
    <row r="181" spans="2:6" s="162" customFormat="1" x14ac:dyDescent="0.45">
      <c r="B181" s="167"/>
      <c r="C181" s="167"/>
      <c r="D181" s="167"/>
      <c r="E181" s="167"/>
      <c r="F181" s="167"/>
    </row>
    <row r="182" spans="2:6" s="162" customFormat="1" x14ac:dyDescent="0.45">
      <c r="B182" s="167"/>
      <c r="C182" s="167"/>
      <c r="D182" s="167"/>
      <c r="E182" s="167"/>
      <c r="F182" s="167"/>
    </row>
    <row r="183" spans="2:6" s="162" customFormat="1" x14ac:dyDescent="0.45">
      <c r="B183" s="167"/>
      <c r="C183" s="167"/>
      <c r="D183" s="167"/>
      <c r="E183" s="167"/>
      <c r="F183" s="167"/>
    </row>
    <row r="184" spans="2:6" s="162" customFormat="1" x14ac:dyDescent="0.45">
      <c r="B184" s="167"/>
      <c r="C184" s="167"/>
      <c r="D184" s="167"/>
      <c r="E184" s="167"/>
      <c r="F184" s="167"/>
    </row>
    <row r="185" spans="2:6" s="162" customFormat="1" x14ac:dyDescent="0.45">
      <c r="B185" s="167"/>
      <c r="C185" s="167"/>
      <c r="D185" s="167"/>
      <c r="E185" s="167"/>
      <c r="F185" s="167"/>
    </row>
    <row r="186" spans="2:6" s="162" customFormat="1" x14ac:dyDescent="0.45">
      <c r="B186" s="167"/>
      <c r="C186" s="167"/>
      <c r="D186" s="167"/>
      <c r="E186" s="167"/>
      <c r="F186" s="167"/>
    </row>
    <row r="187" spans="2:6" s="162" customFormat="1" x14ac:dyDescent="0.45">
      <c r="B187" s="167"/>
      <c r="C187" s="167"/>
      <c r="D187" s="167"/>
      <c r="E187" s="167"/>
      <c r="F187" s="167"/>
    </row>
    <row r="188" spans="2:6" s="162" customFormat="1" x14ac:dyDescent="0.45">
      <c r="B188" s="167"/>
      <c r="C188" s="167"/>
      <c r="D188" s="167"/>
      <c r="E188" s="167"/>
      <c r="F188" s="167"/>
    </row>
    <row r="189" spans="2:6" s="162" customFormat="1" x14ac:dyDescent="0.45">
      <c r="B189" s="167"/>
      <c r="C189" s="167"/>
      <c r="D189" s="167"/>
      <c r="E189" s="167"/>
      <c r="F189" s="167"/>
    </row>
    <row r="190" spans="2:6" s="162" customFormat="1" x14ac:dyDescent="0.45">
      <c r="B190" s="167"/>
      <c r="C190" s="167"/>
      <c r="D190" s="167"/>
      <c r="E190" s="167"/>
      <c r="F190" s="167"/>
    </row>
    <row r="191" spans="2:6" s="162" customFormat="1" x14ac:dyDescent="0.45">
      <c r="B191" s="167"/>
      <c r="C191" s="167"/>
      <c r="D191" s="167"/>
      <c r="E191" s="167"/>
      <c r="F191" s="167"/>
    </row>
    <row r="192" spans="2:6" s="162" customFormat="1" x14ac:dyDescent="0.45">
      <c r="B192" s="167"/>
      <c r="C192" s="167"/>
      <c r="D192" s="167"/>
      <c r="E192" s="167"/>
      <c r="F192" s="167"/>
    </row>
    <row r="193" spans="2:6" s="162" customFormat="1" x14ac:dyDescent="0.45">
      <c r="B193" s="167"/>
      <c r="C193" s="167"/>
      <c r="D193" s="167"/>
      <c r="E193" s="167"/>
      <c r="F193" s="167"/>
    </row>
    <row r="194" spans="2:6" s="162" customFormat="1" x14ac:dyDescent="0.45">
      <c r="B194" s="167"/>
      <c r="C194" s="167"/>
      <c r="D194" s="167"/>
      <c r="E194" s="167"/>
      <c r="F194" s="167"/>
    </row>
    <row r="195" spans="2:6" s="162" customFormat="1" x14ac:dyDescent="0.45">
      <c r="B195" s="167"/>
      <c r="C195" s="167"/>
      <c r="D195" s="167"/>
      <c r="E195" s="167"/>
      <c r="F195" s="167"/>
    </row>
    <row r="196" spans="2:6" s="162" customFormat="1" x14ac:dyDescent="0.45">
      <c r="B196" s="167"/>
      <c r="C196" s="167"/>
      <c r="D196" s="167"/>
      <c r="E196" s="167"/>
      <c r="F196" s="167"/>
    </row>
    <row r="197" spans="2:6" s="162" customFormat="1" x14ac:dyDescent="0.45">
      <c r="B197" s="167"/>
      <c r="C197" s="167"/>
      <c r="D197" s="167"/>
      <c r="E197" s="167"/>
      <c r="F197" s="167"/>
    </row>
    <row r="198" spans="2:6" s="162" customFormat="1" x14ac:dyDescent="0.45">
      <c r="B198" s="167"/>
      <c r="C198" s="167"/>
      <c r="D198" s="167"/>
      <c r="E198" s="167"/>
      <c r="F198" s="167"/>
    </row>
    <row r="199" spans="2:6" s="162" customFormat="1" x14ac:dyDescent="0.45">
      <c r="B199" s="167"/>
      <c r="C199" s="167"/>
      <c r="D199" s="167"/>
      <c r="E199" s="167"/>
      <c r="F199" s="167"/>
    </row>
    <row r="200" spans="2:6" s="162" customFormat="1" x14ac:dyDescent="0.45">
      <c r="B200" s="167"/>
      <c r="C200" s="167"/>
      <c r="D200" s="167"/>
      <c r="E200" s="167"/>
      <c r="F200" s="167"/>
    </row>
    <row r="201" spans="2:6" s="162" customFormat="1" x14ac:dyDescent="0.45">
      <c r="B201" s="167"/>
      <c r="C201" s="167"/>
      <c r="D201" s="167"/>
      <c r="E201" s="167"/>
      <c r="F201" s="167"/>
    </row>
    <row r="202" spans="2:6" s="162" customFormat="1" x14ac:dyDescent="0.45">
      <c r="B202" s="167"/>
      <c r="C202" s="167"/>
      <c r="D202" s="167"/>
      <c r="E202" s="167"/>
      <c r="F202" s="167"/>
    </row>
    <row r="203" spans="2:6" s="162" customFormat="1" x14ac:dyDescent="0.45">
      <c r="B203" s="167"/>
      <c r="C203" s="167"/>
      <c r="D203" s="167"/>
      <c r="E203" s="167"/>
      <c r="F203" s="167"/>
    </row>
    <row r="204" spans="2:6" s="162" customFormat="1" x14ac:dyDescent="0.45">
      <c r="B204" s="167"/>
      <c r="C204" s="167"/>
      <c r="D204" s="167"/>
      <c r="E204" s="167"/>
      <c r="F204" s="167"/>
    </row>
    <row r="205" spans="2:6" s="162" customFormat="1" x14ac:dyDescent="0.45">
      <c r="B205" s="167"/>
      <c r="C205" s="167"/>
      <c r="D205" s="167"/>
      <c r="E205" s="167"/>
      <c r="F205" s="167"/>
    </row>
    <row r="206" spans="2:6" s="162" customFormat="1" x14ac:dyDescent="0.45">
      <c r="B206" s="167"/>
      <c r="C206" s="167"/>
      <c r="D206" s="167"/>
      <c r="E206" s="167"/>
      <c r="F206" s="167"/>
    </row>
    <row r="207" spans="2:6" s="162" customFormat="1" x14ac:dyDescent="0.45">
      <c r="B207" s="167"/>
      <c r="C207" s="167"/>
      <c r="D207" s="167"/>
      <c r="E207" s="167"/>
      <c r="F207" s="167"/>
    </row>
    <row r="208" spans="2:6" s="162" customFormat="1" x14ac:dyDescent="0.45">
      <c r="B208" s="167"/>
      <c r="C208" s="167"/>
      <c r="D208" s="167"/>
      <c r="E208" s="167"/>
      <c r="F208" s="167"/>
    </row>
    <row r="209" spans="2:6" s="162" customFormat="1" x14ac:dyDescent="0.45">
      <c r="B209" s="167"/>
      <c r="C209" s="167"/>
      <c r="D209" s="167"/>
      <c r="E209" s="167"/>
      <c r="F209" s="167"/>
    </row>
    <row r="210" spans="2:6" s="162" customFormat="1" x14ac:dyDescent="0.45">
      <c r="B210" s="167"/>
      <c r="C210" s="167"/>
      <c r="D210" s="167"/>
      <c r="E210" s="167"/>
      <c r="F210" s="167"/>
    </row>
    <row r="211" spans="2:6" s="162" customFormat="1" x14ac:dyDescent="0.45">
      <c r="B211" s="167"/>
      <c r="C211" s="167"/>
      <c r="D211" s="167"/>
      <c r="E211" s="167"/>
      <c r="F211" s="167"/>
    </row>
    <row r="212" spans="2:6" s="162" customFormat="1" x14ac:dyDescent="0.45">
      <c r="B212" s="167"/>
      <c r="C212" s="167"/>
      <c r="D212" s="167"/>
      <c r="E212" s="167"/>
      <c r="F212" s="167"/>
    </row>
    <row r="213" spans="2:6" s="162" customFormat="1" x14ac:dyDescent="0.45">
      <c r="B213" s="167"/>
      <c r="C213" s="167"/>
      <c r="D213" s="167"/>
      <c r="E213" s="167"/>
      <c r="F213" s="167"/>
    </row>
    <row r="214" spans="2:6" s="162" customFormat="1" x14ac:dyDescent="0.45">
      <c r="B214" s="167"/>
      <c r="C214" s="167"/>
      <c r="D214" s="167"/>
      <c r="E214" s="167"/>
      <c r="F214" s="167"/>
    </row>
    <row r="215" spans="2:6" s="162" customFormat="1" x14ac:dyDescent="0.45">
      <c r="B215" s="167"/>
      <c r="C215" s="167"/>
      <c r="D215" s="167"/>
      <c r="E215" s="167"/>
      <c r="F215" s="167"/>
    </row>
    <row r="216" spans="2:6" s="162" customFormat="1" x14ac:dyDescent="0.45">
      <c r="B216" s="167"/>
      <c r="C216" s="167"/>
      <c r="D216" s="167"/>
      <c r="E216" s="167"/>
      <c r="F216" s="167"/>
    </row>
    <row r="217" spans="2:6" s="162" customFormat="1" x14ac:dyDescent="0.45">
      <c r="B217" s="167"/>
      <c r="C217" s="167"/>
      <c r="D217" s="167"/>
      <c r="E217" s="167"/>
      <c r="F217" s="167"/>
    </row>
    <row r="218" spans="2:6" s="162" customFormat="1" x14ac:dyDescent="0.45">
      <c r="B218" s="167"/>
      <c r="C218" s="167"/>
      <c r="D218" s="167"/>
      <c r="E218" s="167"/>
      <c r="F218" s="167"/>
    </row>
    <row r="219" spans="2:6" s="162" customFormat="1" x14ac:dyDescent="0.45">
      <c r="B219" s="167"/>
      <c r="C219" s="167"/>
      <c r="D219" s="167"/>
      <c r="E219" s="167"/>
      <c r="F219" s="167"/>
    </row>
    <row r="220" spans="2:6" s="162" customFormat="1" x14ac:dyDescent="0.45">
      <c r="B220" s="167"/>
      <c r="C220" s="167"/>
      <c r="D220" s="167"/>
      <c r="E220" s="167"/>
      <c r="F220" s="167"/>
    </row>
    <row r="221" spans="2:6" s="162" customFormat="1" x14ac:dyDescent="0.45">
      <c r="B221" s="167"/>
      <c r="C221" s="167"/>
      <c r="D221" s="167"/>
      <c r="E221" s="167"/>
      <c r="F221" s="167"/>
    </row>
    <row r="222" spans="2:6" s="162" customFormat="1" x14ac:dyDescent="0.45">
      <c r="B222" s="167"/>
      <c r="C222" s="167"/>
      <c r="D222" s="167"/>
      <c r="E222" s="167"/>
      <c r="F222" s="167"/>
    </row>
    <row r="223" spans="2:6" s="162" customFormat="1" x14ac:dyDescent="0.45">
      <c r="B223" s="167"/>
      <c r="C223" s="167"/>
      <c r="D223" s="167"/>
      <c r="E223" s="167"/>
      <c r="F223" s="167"/>
    </row>
    <row r="224" spans="2:6" s="162" customFormat="1" x14ac:dyDescent="0.45">
      <c r="B224" s="167"/>
      <c r="C224" s="167"/>
      <c r="D224" s="167"/>
      <c r="E224" s="167"/>
      <c r="F224" s="167"/>
    </row>
    <row r="225" spans="2:6" s="162" customFormat="1" x14ac:dyDescent="0.45">
      <c r="B225" s="167"/>
      <c r="C225" s="167"/>
      <c r="D225" s="167"/>
      <c r="E225" s="167"/>
      <c r="F225" s="167"/>
    </row>
    <row r="226" spans="2:6" s="162" customFormat="1" x14ac:dyDescent="0.45">
      <c r="B226" s="167"/>
      <c r="C226" s="167"/>
      <c r="D226" s="167"/>
      <c r="E226" s="167"/>
      <c r="F226" s="167"/>
    </row>
    <row r="227" spans="2:6" s="162" customFormat="1" x14ac:dyDescent="0.45">
      <c r="B227" s="167"/>
      <c r="C227" s="167"/>
      <c r="D227" s="167"/>
      <c r="E227" s="167"/>
      <c r="F227" s="167"/>
    </row>
    <row r="228" spans="2:6" s="162" customFormat="1" x14ac:dyDescent="0.45">
      <c r="B228" s="167"/>
      <c r="C228" s="167"/>
      <c r="D228" s="167"/>
      <c r="E228" s="167"/>
      <c r="F228" s="167"/>
    </row>
    <row r="229" spans="2:6" s="162" customFormat="1" x14ac:dyDescent="0.45">
      <c r="B229" s="167"/>
      <c r="C229" s="167"/>
      <c r="D229" s="167"/>
      <c r="E229" s="167"/>
      <c r="F229" s="167"/>
    </row>
    <row r="230" spans="2:6" s="162" customFormat="1" x14ac:dyDescent="0.45">
      <c r="B230" s="167"/>
      <c r="C230" s="167"/>
      <c r="D230" s="167"/>
      <c r="E230" s="167"/>
      <c r="F230" s="167"/>
    </row>
    <row r="231" spans="2:6" s="162" customFormat="1" x14ac:dyDescent="0.45">
      <c r="B231" s="167"/>
      <c r="C231" s="167"/>
      <c r="D231" s="167"/>
      <c r="E231" s="167"/>
      <c r="F231" s="167"/>
    </row>
    <row r="232" spans="2:6" s="162" customFormat="1" x14ac:dyDescent="0.45">
      <c r="B232" s="167"/>
      <c r="C232" s="167"/>
      <c r="D232" s="167"/>
      <c r="E232" s="167"/>
      <c r="F232" s="167"/>
    </row>
    <row r="233" spans="2:6" s="162" customFormat="1" x14ac:dyDescent="0.45">
      <c r="B233" s="167"/>
      <c r="C233" s="167"/>
      <c r="D233" s="167"/>
      <c r="E233" s="167"/>
      <c r="F233" s="167"/>
    </row>
    <row r="234" spans="2:6" s="162" customFormat="1" x14ac:dyDescent="0.45">
      <c r="B234" s="167"/>
      <c r="C234" s="167"/>
      <c r="D234" s="167"/>
      <c r="E234" s="167"/>
      <c r="F234" s="167"/>
    </row>
    <row r="235" spans="2:6" s="162" customFormat="1" x14ac:dyDescent="0.45">
      <c r="B235" s="167"/>
      <c r="C235" s="167"/>
      <c r="D235" s="167"/>
      <c r="E235" s="167"/>
      <c r="F235" s="167"/>
    </row>
    <row r="236" spans="2:6" s="162" customFormat="1" x14ac:dyDescent="0.45">
      <c r="B236" s="167"/>
      <c r="C236" s="167"/>
      <c r="D236" s="167"/>
      <c r="E236" s="167"/>
      <c r="F236" s="167"/>
    </row>
    <row r="237" spans="2:6" s="162" customFormat="1" x14ac:dyDescent="0.45">
      <c r="B237" s="167"/>
      <c r="C237" s="167"/>
      <c r="D237" s="167"/>
      <c r="E237" s="167"/>
      <c r="F237" s="167"/>
    </row>
    <row r="238" spans="2:6" s="162" customFormat="1" x14ac:dyDescent="0.45">
      <c r="B238" s="167"/>
      <c r="C238" s="167"/>
      <c r="D238" s="167"/>
      <c r="E238" s="167"/>
      <c r="F238" s="167"/>
    </row>
    <row r="239" spans="2:6" s="162" customFormat="1" x14ac:dyDescent="0.45">
      <c r="B239" s="167"/>
      <c r="C239" s="167"/>
      <c r="D239" s="167"/>
      <c r="E239" s="167"/>
      <c r="F239" s="167"/>
    </row>
    <row r="240" spans="2:6" s="162" customFormat="1" x14ac:dyDescent="0.45">
      <c r="B240" s="167"/>
      <c r="C240" s="167"/>
      <c r="D240" s="167"/>
      <c r="E240" s="167"/>
      <c r="F240" s="167"/>
    </row>
    <row r="241" spans="2:6" s="162" customFormat="1" x14ac:dyDescent="0.45">
      <c r="B241" s="167"/>
      <c r="C241" s="167"/>
      <c r="D241" s="167"/>
      <c r="E241" s="167"/>
      <c r="F241" s="167"/>
    </row>
    <row r="242" spans="2:6" s="162" customFormat="1" x14ac:dyDescent="0.45">
      <c r="B242" s="167"/>
      <c r="C242" s="167"/>
      <c r="D242" s="167"/>
      <c r="E242" s="167"/>
      <c r="F242" s="167"/>
    </row>
    <row r="243" spans="2:6" s="162" customFormat="1" x14ac:dyDescent="0.45">
      <c r="B243" s="167"/>
      <c r="C243" s="167"/>
      <c r="D243" s="167"/>
      <c r="E243" s="167"/>
      <c r="F243" s="167"/>
    </row>
    <row r="244" spans="2:6" s="162" customFormat="1" x14ac:dyDescent="0.45">
      <c r="B244" s="167"/>
      <c r="C244" s="167"/>
      <c r="D244" s="167"/>
      <c r="E244" s="167"/>
      <c r="F244" s="167"/>
    </row>
    <row r="245" spans="2:6" s="162" customFormat="1" x14ac:dyDescent="0.45">
      <c r="B245" s="167"/>
      <c r="C245" s="167"/>
      <c r="D245" s="167"/>
      <c r="E245" s="167"/>
      <c r="F245" s="167"/>
    </row>
    <row r="246" spans="2:6" s="162" customFormat="1" x14ac:dyDescent="0.45">
      <c r="B246" s="167"/>
      <c r="C246" s="167"/>
      <c r="D246" s="167"/>
      <c r="E246" s="167"/>
      <c r="F246" s="167"/>
    </row>
    <row r="247" spans="2:6" s="162" customFormat="1" x14ac:dyDescent="0.45">
      <c r="B247" s="167"/>
      <c r="C247" s="167"/>
      <c r="D247" s="167"/>
      <c r="E247" s="167"/>
      <c r="F247" s="167"/>
    </row>
    <row r="248" spans="2:6" s="162" customFormat="1" x14ac:dyDescent="0.45">
      <c r="B248" s="167"/>
      <c r="C248" s="167"/>
      <c r="D248" s="167"/>
      <c r="E248" s="167"/>
      <c r="F248" s="167"/>
    </row>
    <row r="249" spans="2:6" s="162" customFormat="1" x14ac:dyDescent="0.45">
      <c r="B249" s="167"/>
      <c r="C249" s="167"/>
      <c r="D249" s="167"/>
      <c r="E249" s="167"/>
      <c r="F249" s="167"/>
    </row>
    <row r="250" spans="2:6" s="162" customFormat="1" x14ac:dyDescent="0.45">
      <c r="B250" s="167"/>
      <c r="C250" s="167"/>
      <c r="D250" s="167"/>
      <c r="E250" s="167"/>
      <c r="F250" s="167"/>
    </row>
    <row r="251" spans="2:6" s="162" customFormat="1" x14ac:dyDescent="0.45">
      <c r="B251" s="167"/>
      <c r="C251" s="167"/>
      <c r="D251" s="167"/>
      <c r="E251" s="167"/>
      <c r="F251" s="167"/>
    </row>
    <row r="252" spans="2:6" s="162" customFormat="1" x14ac:dyDescent="0.45">
      <c r="B252" s="167"/>
      <c r="C252" s="167"/>
      <c r="D252" s="167"/>
      <c r="E252" s="167"/>
      <c r="F252" s="167"/>
    </row>
    <row r="253" spans="2:6" s="162" customFormat="1" x14ac:dyDescent="0.45">
      <c r="B253" s="167"/>
      <c r="C253" s="167"/>
      <c r="D253" s="167"/>
      <c r="E253" s="167"/>
      <c r="F253" s="167"/>
    </row>
    <row r="254" spans="2:6" s="162" customFormat="1" x14ac:dyDescent="0.45">
      <c r="B254" s="167"/>
      <c r="C254" s="167"/>
      <c r="D254" s="167"/>
      <c r="E254" s="167"/>
      <c r="F254" s="167"/>
    </row>
    <row r="255" spans="2:6" s="162" customFormat="1" x14ac:dyDescent="0.45">
      <c r="B255" s="167"/>
      <c r="C255" s="167"/>
      <c r="D255" s="167"/>
      <c r="E255" s="167"/>
      <c r="F255" s="167"/>
    </row>
    <row r="256" spans="2:6" s="162" customFormat="1" x14ac:dyDescent="0.45">
      <c r="B256" s="167"/>
      <c r="C256" s="167"/>
      <c r="D256" s="167"/>
      <c r="E256" s="167"/>
      <c r="F256" s="167"/>
    </row>
    <row r="257" spans="2:6" s="162" customFormat="1" x14ac:dyDescent="0.45">
      <c r="B257" s="167"/>
      <c r="C257" s="167"/>
      <c r="D257" s="167"/>
      <c r="E257" s="167"/>
      <c r="F257" s="167"/>
    </row>
    <row r="258" spans="2:6" s="162" customFormat="1" x14ac:dyDescent="0.45">
      <c r="B258" s="167"/>
      <c r="C258" s="167"/>
      <c r="D258" s="167"/>
      <c r="E258" s="167"/>
      <c r="F258" s="167"/>
    </row>
    <row r="259" spans="2:6" s="162" customFormat="1" x14ac:dyDescent="0.45">
      <c r="B259" s="167"/>
      <c r="C259" s="167"/>
      <c r="D259" s="167"/>
      <c r="E259" s="167"/>
      <c r="F259" s="167"/>
    </row>
    <row r="260" spans="2:6" s="162" customFormat="1" x14ac:dyDescent="0.45">
      <c r="B260" s="167"/>
      <c r="C260" s="167"/>
      <c r="D260" s="167"/>
      <c r="E260" s="167"/>
      <c r="F260" s="167"/>
    </row>
    <row r="261" spans="2:6" s="162" customFormat="1" x14ac:dyDescent="0.45">
      <c r="B261" s="167"/>
      <c r="C261" s="167"/>
      <c r="D261" s="167"/>
      <c r="E261" s="167"/>
      <c r="F261" s="167"/>
    </row>
    <row r="262" spans="2:6" s="162" customFormat="1" x14ac:dyDescent="0.45">
      <c r="B262" s="167"/>
      <c r="C262" s="167"/>
      <c r="D262" s="167"/>
      <c r="E262" s="167"/>
      <c r="F262" s="167"/>
    </row>
    <row r="263" spans="2:6" s="162" customFormat="1" x14ac:dyDescent="0.45">
      <c r="B263" s="167"/>
      <c r="C263" s="167"/>
      <c r="D263" s="167"/>
      <c r="E263" s="167"/>
      <c r="F263" s="167"/>
    </row>
    <row r="264" spans="2:6" s="162" customFormat="1" x14ac:dyDescent="0.45">
      <c r="B264" s="167"/>
      <c r="C264" s="167"/>
      <c r="D264" s="167"/>
      <c r="E264" s="167"/>
      <c r="F264" s="167"/>
    </row>
    <row r="265" spans="2:6" s="162" customFormat="1" x14ac:dyDescent="0.45">
      <c r="B265" s="167"/>
      <c r="C265" s="167"/>
      <c r="D265" s="167"/>
      <c r="E265" s="167"/>
      <c r="F265" s="167"/>
    </row>
    <row r="266" spans="2:6" s="162" customFormat="1" x14ac:dyDescent="0.45">
      <c r="B266" s="167"/>
      <c r="C266" s="167"/>
      <c r="D266" s="167"/>
      <c r="E266" s="167"/>
      <c r="F266" s="167"/>
    </row>
    <row r="267" spans="2:6" s="162" customFormat="1" x14ac:dyDescent="0.45">
      <c r="B267" s="167"/>
      <c r="C267" s="167"/>
      <c r="D267" s="167"/>
      <c r="E267" s="167"/>
      <c r="F267" s="167"/>
    </row>
    <row r="268" spans="2:6" s="162" customFormat="1" x14ac:dyDescent="0.45">
      <c r="B268" s="167"/>
      <c r="C268" s="167"/>
      <c r="D268" s="167"/>
      <c r="E268" s="167"/>
      <c r="F268" s="167"/>
    </row>
    <row r="269" spans="2:6" s="162" customFormat="1" x14ac:dyDescent="0.45">
      <c r="B269" s="167"/>
      <c r="C269" s="167"/>
      <c r="D269" s="167"/>
      <c r="E269" s="167"/>
      <c r="F269" s="167"/>
    </row>
    <row r="270" spans="2:6" s="162" customFormat="1" x14ac:dyDescent="0.45">
      <c r="B270" s="167"/>
      <c r="C270" s="167"/>
      <c r="D270" s="167"/>
      <c r="E270" s="167"/>
      <c r="F270" s="167"/>
    </row>
    <row r="271" spans="2:6" s="162" customFormat="1" x14ac:dyDescent="0.45">
      <c r="B271" s="167"/>
      <c r="C271" s="167"/>
      <c r="D271" s="167"/>
      <c r="E271" s="167"/>
      <c r="F271" s="167"/>
    </row>
    <row r="272" spans="2:6" s="162" customFormat="1" x14ac:dyDescent="0.45">
      <c r="B272" s="167"/>
      <c r="C272" s="167"/>
      <c r="D272" s="167"/>
      <c r="E272" s="167"/>
      <c r="F272" s="167"/>
    </row>
    <row r="273" spans="2:6" s="162" customFormat="1" x14ac:dyDescent="0.45">
      <c r="B273" s="167"/>
      <c r="C273" s="167"/>
      <c r="D273" s="167"/>
      <c r="E273" s="167"/>
      <c r="F273" s="167"/>
    </row>
    <row r="274" spans="2:6" s="162" customFormat="1" x14ac:dyDescent="0.45">
      <c r="B274" s="167"/>
      <c r="C274" s="167"/>
      <c r="D274" s="167"/>
      <c r="E274" s="167"/>
      <c r="F274" s="167"/>
    </row>
    <row r="275" spans="2:6" s="162" customFormat="1" x14ac:dyDescent="0.45">
      <c r="B275" s="167"/>
      <c r="C275" s="167"/>
      <c r="D275" s="167"/>
      <c r="E275" s="167"/>
      <c r="F275" s="167"/>
    </row>
    <row r="276" spans="2:6" s="162" customFormat="1" x14ac:dyDescent="0.45">
      <c r="B276" s="167"/>
      <c r="C276" s="167"/>
      <c r="D276" s="167"/>
      <c r="E276" s="167"/>
      <c r="F276" s="167"/>
    </row>
    <row r="277" spans="2:6" s="162" customFormat="1" x14ac:dyDescent="0.45">
      <c r="B277" s="167"/>
      <c r="C277" s="167"/>
      <c r="D277" s="167"/>
      <c r="E277" s="167"/>
      <c r="F277" s="167"/>
    </row>
    <row r="278" spans="2:6" s="162" customFormat="1" x14ac:dyDescent="0.45">
      <c r="B278" s="167"/>
      <c r="C278" s="167"/>
      <c r="D278" s="167"/>
      <c r="E278" s="167"/>
      <c r="F278" s="167"/>
    </row>
    <row r="279" spans="2:6" s="162" customFormat="1" x14ac:dyDescent="0.45">
      <c r="B279" s="167"/>
      <c r="C279" s="167"/>
      <c r="D279" s="167"/>
      <c r="E279" s="167"/>
      <c r="F279" s="167"/>
    </row>
    <row r="280" spans="2:6" s="162" customFormat="1" x14ac:dyDescent="0.45">
      <c r="B280" s="167"/>
      <c r="C280" s="167"/>
      <c r="D280" s="167"/>
      <c r="E280" s="167"/>
      <c r="F280" s="167"/>
    </row>
    <row r="281" spans="2:6" s="162" customFormat="1" x14ac:dyDescent="0.45">
      <c r="B281" s="167"/>
      <c r="C281" s="167"/>
      <c r="D281" s="167"/>
      <c r="E281" s="167"/>
      <c r="F281" s="167"/>
    </row>
    <row r="282" spans="2:6" s="162" customFormat="1" x14ac:dyDescent="0.45">
      <c r="B282" s="167"/>
      <c r="C282" s="167"/>
      <c r="D282" s="167"/>
      <c r="E282" s="167"/>
      <c r="F282" s="167"/>
    </row>
    <row r="283" spans="2:6" s="162" customFormat="1" x14ac:dyDescent="0.45">
      <c r="B283" s="167"/>
      <c r="C283" s="167"/>
      <c r="D283" s="167"/>
      <c r="E283" s="167"/>
      <c r="F283" s="167"/>
    </row>
    <row r="284" spans="2:6" s="162" customFormat="1" x14ac:dyDescent="0.45">
      <c r="B284" s="167"/>
      <c r="C284" s="167"/>
      <c r="D284" s="167"/>
      <c r="E284" s="167"/>
      <c r="F284" s="167"/>
    </row>
    <row r="285" spans="2:6" s="162" customFormat="1" x14ac:dyDescent="0.45">
      <c r="B285" s="167"/>
      <c r="C285" s="167"/>
      <c r="D285" s="167"/>
      <c r="E285" s="167"/>
      <c r="F285" s="167"/>
    </row>
    <row r="286" spans="2:6" s="162" customFormat="1" x14ac:dyDescent="0.45">
      <c r="B286" s="167"/>
      <c r="C286" s="167"/>
      <c r="D286" s="167"/>
      <c r="E286" s="167"/>
      <c r="F286" s="167"/>
    </row>
    <row r="287" spans="2:6" s="162" customFormat="1" x14ac:dyDescent="0.45">
      <c r="B287" s="167"/>
      <c r="C287" s="167"/>
      <c r="D287" s="167"/>
      <c r="E287" s="167"/>
      <c r="F287" s="167"/>
    </row>
    <row r="288" spans="2:6" s="162" customFormat="1" x14ac:dyDescent="0.45">
      <c r="B288" s="167"/>
      <c r="C288" s="167"/>
      <c r="D288" s="167"/>
      <c r="E288" s="167"/>
      <c r="F288" s="167"/>
    </row>
    <row r="289" spans="2:6" s="162" customFormat="1" x14ac:dyDescent="0.45">
      <c r="B289" s="167"/>
      <c r="C289" s="167"/>
      <c r="D289" s="167"/>
      <c r="E289" s="167"/>
      <c r="F289" s="167"/>
    </row>
    <row r="290" spans="2:6" s="162" customFormat="1" x14ac:dyDescent="0.45">
      <c r="B290" s="167"/>
      <c r="C290" s="167"/>
      <c r="D290" s="167"/>
      <c r="E290" s="167"/>
      <c r="F290" s="167"/>
    </row>
    <row r="291" spans="2:6" s="162" customFormat="1" x14ac:dyDescent="0.45">
      <c r="B291" s="167"/>
      <c r="C291" s="167"/>
      <c r="D291" s="167"/>
      <c r="E291" s="167"/>
      <c r="F291" s="167"/>
    </row>
    <row r="292" spans="2:6" s="162" customFormat="1" x14ac:dyDescent="0.45">
      <c r="B292" s="167"/>
      <c r="C292" s="167"/>
      <c r="D292" s="167"/>
      <c r="E292" s="167"/>
      <c r="F292" s="167"/>
    </row>
    <row r="293" spans="2:6" s="162" customFormat="1" x14ac:dyDescent="0.45">
      <c r="B293" s="167"/>
      <c r="C293" s="167"/>
      <c r="D293" s="167"/>
      <c r="E293" s="167"/>
      <c r="F293" s="167"/>
    </row>
    <row r="294" spans="2:6" s="162" customFormat="1" x14ac:dyDescent="0.45">
      <c r="B294" s="167"/>
      <c r="C294" s="167"/>
      <c r="D294" s="167"/>
      <c r="E294" s="167"/>
      <c r="F294" s="167"/>
    </row>
    <row r="295" spans="2:6" s="162" customFormat="1" x14ac:dyDescent="0.45">
      <c r="B295" s="167"/>
      <c r="C295" s="167"/>
      <c r="D295" s="167"/>
      <c r="E295" s="167"/>
      <c r="F295" s="167"/>
    </row>
    <row r="296" spans="2:6" s="162" customFormat="1" x14ac:dyDescent="0.45">
      <c r="B296" s="167"/>
      <c r="C296" s="167"/>
      <c r="D296" s="167"/>
      <c r="E296" s="167"/>
      <c r="F296" s="167"/>
    </row>
    <row r="297" spans="2:6" s="162" customFormat="1" x14ac:dyDescent="0.45">
      <c r="B297" s="167"/>
      <c r="C297" s="167"/>
      <c r="D297" s="167"/>
      <c r="E297" s="167"/>
      <c r="F297" s="167"/>
    </row>
    <row r="298" spans="2:6" s="162" customFormat="1" x14ac:dyDescent="0.45">
      <c r="B298" s="167"/>
      <c r="C298" s="167"/>
      <c r="D298" s="167"/>
      <c r="E298" s="167"/>
      <c r="F298" s="167"/>
    </row>
    <row r="299" spans="2:6" s="162" customFormat="1" x14ac:dyDescent="0.45">
      <c r="B299" s="167"/>
      <c r="C299" s="167"/>
      <c r="D299" s="167"/>
      <c r="E299" s="167"/>
      <c r="F299" s="167"/>
    </row>
    <row r="300" spans="2:6" s="162" customFormat="1" x14ac:dyDescent="0.45">
      <c r="B300" s="167"/>
      <c r="C300" s="167"/>
      <c r="D300" s="167"/>
      <c r="E300" s="167"/>
      <c r="F300" s="167"/>
    </row>
    <row r="301" spans="2:6" s="162" customFormat="1" x14ac:dyDescent="0.45">
      <c r="B301" s="167"/>
      <c r="C301" s="167"/>
      <c r="D301" s="167"/>
      <c r="E301" s="167"/>
      <c r="F301" s="167"/>
    </row>
    <row r="302" spans="2:6" s="162" customFormat="1" x14ac:dyDescent="0.45">
      <c r="B302" s="167"/>
      <c r="C302" s="167"/>
      <c r="D302" s="167"/>
      <c r="E302" s="167"/>
      <c r="F302" s="167"/>
    </row>
    <row r="303" spans="2:6" s="162" customFormat="1" x14ac:dyDescent="0.45">
      <c r="B303" s="167"/>
      <c r="C303" s="167"/>
      <c r="D303" s="167"/>
      <c r="E303" s="167"/>
      <c r="F303" s="167"/>
    </row>
    <row r="304" spans="2:6" s="162" customFormat="1" x14ac:dyDescent="0.45">
      <c r="B304" s="167"/>
      <c r="C304" s="167"/>
      <c r="D304" s="167"/>
      <c r="E304" s="167"/>
      <c r="F304" s="167"/>
    </row>
    <row r="305" spans="2:6" s="162" customFormat="1" x14ac:dyDescent="0.45">
      <c r="B305" s="167"/>
      <c r="C305" s="167"/>
      <c r="D305" s="167"/>
      <c r="E305" s="167"/>
      <c r="F305" s="167"/>
    </row>
    <row r="306" spans="2:6" s="162" customFormat="1" x14ac:dyDescent="0.45">
      <c r="B306" s="167"/>
      <c r="C306" s="167"/>
      <c r="D306" s="167"/>
      <c r="E306" s="167"/>
      <c r="F306" s="167"/>
    </row>
    <row r="307" spans="2:6" s="162" customFormat="1" x14ac:dyDescent="0.45">
      <c r="B307" s="167"/>
      <c r="C307" s="167"/>
      <c r="D307" s="167"/>
      <c r="E307" s="167"/>
      <c r="F307" s="167"/>
    </row>
    <row r="308" spans="2:6" s="162" customFormat="1" x14ac:dyDescent="0.45">
      <c r="B308" s="167"/>
      <c r="C308" s="167"/>
      <c r="D308" s="167"/>
      <c r="E308" s="167"/>
      <c r="F308" s="167"/>
    </row>
    <row r="309" spans="2:6" s="162" customFormat="1" x14ac:dyDescent="0.45">
      <c r="B309" s="167"/>
      <c r="C309" s="167"/>
      <c r="D309" s="167"/>
      <c r="E309" s="167"/>
      <c r="F309" s="167"/>
    </row>
    <row r="310" spans="2:6" s="162" customFormat="1" x14ac:dyDescent="0.45">
      <c r="B310" s="167"/>
      <c r="C310" s="167"/>
      <c r="D310" s="167"/>
      <c r="E310" s="167"/>
      <c r="F310" s="167"/>
    </row>
    <row r="311" spans="2:6" s="162" customFormat="1" x14ac:dyDescent="0.45">
      <c r="B311" s="167"/>
      <c r="C311" s="167"/>
      <c r="D311" s="167"/>
      <c r="E311" s="167"/>
      <c r="F311" s="167"/>
    </row>
    <row r="312" spans="2:6" s="162" customFormat="1" x14ac:dyDescent="0.45">
      <c r="B312" s="167"/>
      <c r="C312" s="167"/>
      <c r="D312" s="167"/>
      <c r="E312" s="167"/>
      <c r="F312" s="167"/>
    </row>
    <row r="313" spans="2:6" s="162" customFormat="1" x14ac:dyDescent="0.45">
      <c r="B313" s="167"/>
      <c r="C313" s="167"/>
      <c r="D313" s="167"/>
      <c r="E313" s="167"/>
      <c r="F313" s="167"/>
    </row>
    <row r="314" spans="2:6" s="162" customFormat="1" x14ac:dyDescent="0.45">
      <c r="B314" s="167"/>
      <c r="C314" s="167"/>
      <c r="D314" s="167"/>
      <c r="E314" s="167"/>
      <c r="F314" s="167"/>
    </row>
    <row r="315" spans="2:6" s="162" customFormat="1" x14ac:dyDescent="0.45">
      <c r="B315" s="167"/>
      <c r="C315" s="167"/>
      <c r="D315" s="167"/>
      <c r="E315" s="167"/>
      <c r="F315" s="167"/>
    </row>
    <row r="316" spans="2:6" s="162" customFormat="1" x14ac:dyDescent="0.45">
      <c r="B316" s="167"/>
      <c r="C316" s="167"/>
      <c r="D316" s="167"/>
      <c r="E316" s="167"/>
      <c r="F316" s="167"/>
    </row>
    <row r="317" spans="2:6" s="162" customFormat="1" x14ac:dyDescent="0.45">
      <c r="B317" s="167"/>
      <c r="C317" s="167"/>
      <c r="D317" s="167"/>
      <c r="E317" s="167"/>
      <c r="F317" s="167"/>
    </row>
    <row r="318" spans="2:6" s="162" customFormat="1" x14ac:dyDescent="0.45">
      <c r="B318" s="167"/>
      <c r="C318" s="167"/>
      <c r="D318" s="167"/>
      <c r="E318" s="167"/>
      <c r="F318" s="167"/>
    </row>
    <row r="319" spans="2:6" s="162" customFormat="1" x14ac:dyDescent="0.45">
      <c r="B319" s="167"/>
      <c r="C319" s="167"/>
      <c r="D319" s="167"/>
      <c r="E319" s="167"/>
      <c r="F319" s="167"/>
    </row>
    <row r="320" spans="2:6" s="162" customFormat="1" x14ac:dyDescent="0.45">
      <c r="B320" s="167"/>
      <c r="C320" s="167"/>
      <c r="D320" s="167"/>
      <c r="E320" s="167"/>
      <c r="F320" s="167"/>
    </row>
    <row r="321" spans="2:6" s="162" customFormat="1" x14ac:dyDescent="0.45">
      <c r="B321" s="167"/>
      <c r="C321" s="167"/>
      <c r="D321" s="167"/>
      <c r="E321" s="167"/>
      <c r="F321" s="167"/>
    </row>
    <row r="322" spans="2:6" s="162" customFormat="1" x14ac:dyDescent="0.45">
      <c r="B322" s="167"/>
      <c r="C322" s="167"/>
      <c r="D322" s="167"/>
      <c r="E322" s="167"/>
      <c r="F322" s="167"/>
    </row>
  </sheetData>
  <sheetProtection algorithmName="SHA-512" hashValue="RYQm4UePm1lvuDdQ5CgsXc5DIbYxmZJfCY/r8cNw92j3V0pn7Ekl/dx5805XxiaiTKiRu1NyzssK3+JkNyEbFA==" saltValue="0Zvlp5bD4Vk7k1G8Hlp3Ew==" spinCount="100000" sheet="1" objects="1" scenarios="1"/>
  <mergeCells count="21">
    <mergeCell ref="B1:E1"/>
    <mergeCell ref="B2:E2"/>
    <mergeCell ref="B3:E3"/>
    <mergeCell ref="B30:C30"/>
    <mergeCell ref="B29:C29"/>
    <mergeCell ref="E6:F6"/>
    <mergeCell ref="E8:F8"/>
    <mergeCell ref="E10:F10"/>
    <mergeCell ref="E12:F12"/>
    <mergeCell ref="E19:F19"/>
    <mergeCell ref="E28:F28"/>
    <mergeCell ref="B15:F15"/>
    <mergeCell ref="E4:F4"/>
    <mergeCell ref="E26:F26"/>
    <mergeCell ref="E17:F17"/>
    <mergeCell ref="B27:C28"/>
    <mergeCell ref="B31:F31"/>
    <mergeCell ref="B33:C33"/>
    <mergeCell ref="B34:C34"/>
    <mergeCell ref="E33:F33"/>
    <mergeCell ref="E34:F34"/>
  </mergeCells>
  <hyperlinks>
    <hyperlink ref="E34:F34" r:id="rId1" display="پست الکترونیکی (Email)"/>
    <hyperlink ref="B29" r:id="rId2" display="https://shenasname.ir/"/>
    <hyperlink ref="B30:C30" r:id="rId3" display="دانلود آخرین نسخه فایل اکسل"/>
    <hyperlink ref="E33:F33" r:id="rId4" display="اینستاگرام (instagram)"/>
    <hyperlink ref="B33:C33" r:id="rId5" display="تهیه و تنظیم: صیاح الدین شهدی"/>
    <hyperlink ref="B34:C34" r:id="rId6" display="کارشناس  امور اداری و کارگزینی"/>
  </hyperlinks>
  <printOptions horizontalCentered="1"/>
  <pageMargins left="0.11811023622047245" right="0.11811023622047245" top="0.15748031496062992" bottom="0.19685039370078741" header="0.11811023622047245" footer="0.11811023622047245"/>
  <pageSetup paperSize="9" scale="68" orientation="portrait" r:id="rId7"/>
  <drawing r:id="rId8"/>
  <extLst>
    <ext xmlns:x14="http://schemas.microsoft.com/office/spreadsheetml/2009/9/main" uri="{CCE6A557-97BC-4b89-ADB6-D9C93CAAB3DF}">
      <x14:dataValidations xmlns:xm="http://schemas.microsoft.com/office/excel/2006/main" xWindow="739" yWindow="537" count="4">
        <x14:dataValidation type="list" allowBlank="1" showInputMessage="1" showErrorMessage="1">
          <x14:formula1>
            <xm:f>Sheet1!$F$1:$F$2</xm:f>
          </x14:formula1>
          <xm:sqref>F7</xm:sqref>
        </x14:dataValidation>
        <x14:dataValidation type="list" allowBlank="1" showInputMessage="1" showErrorMessage="1">
          <x14:formula1>
            <xm:f>Sheet1!$B$12:$B$16</xm:f>
          </x14:formula1>
          <xm:sqref>F9</xm:sqref>
        </x14:dataValidation>
        <x14:dataValidation type="list" allowBlank="1" showInputMessage="1" showErrorMessage="1">
          <x14:formula1>
            <xm:f>Sheet1!$G$1:$G$2</xm:f>
          </x14:formula1>
          <xm:sqref>F5</xm:sqref>
        </x14:dataValidation>
        <x14:dataValidation type="list" allowBlank="1" showInputMessage="1" showErrorMessage="1">
          <x14:formula1>
            <xm:f>Sheet1!$H$1:$H$2</xm:f>
          </x14:formula1>
          <xm:sqref>F18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H20"/>
  <sheetViews>
    <sheetView rightToLeft="1" workbookViewId="0">
      <selection activeCell="F9" sqref="F9"/>
    </sheetView>
  </sheetViews>
  <sheetFormatPr defaultRowHeight="18" x14ac:dyDescent="0.4"/>
  <cols>
    <col min="1" max="1" width="9" style="189"/>
    <col min="2" max="2" width="18" style="189" customWidth="1"/>
    <col min="3" max="5" width="9" style="189"/>
    <col min="6" max="6" width="13.75" style="189" customWidth="1"/>
    <col min="7" max="7" width="19.625" style="189" customWidth="1"/>
    <col min="8" max="8" width="11.375" style="189" customWidth="1"/>
    <col min="9" max="9" width="13.25" style="189" customWidth="1"/>
    <col min="10" max="16384" width="9" style="189"/>
  </cols>
  <sheetData>
    <row r="1" spans="2:8" x14ac:dyDescent="0.4">
      <c r="F1" s="189" t="s">
        <v>43</v>
      </c>
      <c r="G1" s="189" t="s">
        <v>8</v>
      </c>
      <c r="H1" s="189" t="s">
        <v>0</v>
      </c>
    </row>
    <row r="2" spans="2:8" x14ac:dyDescent="0.4">
      <c r="B2" s="190" t="s">
        <v>143</v>
      </c>
      <c r="C2" s="190" t="s">
        <v>150</v>
      </c>
      <c r="F2" s="189" t="s">
        <v>44</v>
      </c>
      <c r="G2" s="189" t="s">
        <v>9</v>
      </c>
      <c r="H2" s="189" t="s">
        <v>1</v>
      </c>
    </row>
    <row r="3" spans="2:8" x14ac:dyDescent="0.4">
      <c r="B3" s="188" t="s">
        <v>144</v>
      </c>
      <c r="C3" s="188">
        <v>21</v>
      </c>
    </row>
    <row r="4" spans="2:8" x14ac:dyDescent="0.4">
      <c r="B4" s="191" t="s">
        <v>145</v>
      </c>
      <c r="C4" s="191">
        <v>22</v>
      </c>
    </row>
    <row r="5" spans="2:8" ht="24" x14ac:dyDescent="0.4">
      <c r="B5" s="188" t="s">
        <v>149</v>
      </c>
      <c r="C5" s="188">
        <v>23</v>
      </c>
      <c r="F5" s="187">
        <f>G5*21%</f>
        <v>0</v>
      </c>
      <c r="G5" s="187">
        <f>IF('محاسبه فوق العاده ویژه'!F18="امتیاز",SUM('محاسبه فوق العاده ویژه'!F20:F25)*3048,SUM('محاسبه فوق العاده ویژه'!F20:F25))</f>
        <v>0</v>
      </c>
    </row>
    <row r="6" spans="2:8" x14ac:dyDescent="0.4">
      <c r="B6" s="191" t="s">
        <v>146</v>
      </c>
      <c r="C6" s="191">
        <v>24</v>
      </c>
    </row>
    <row r="7" spans="2:8" ht="24" x14ac:dyDescent="0.4">
      <c r="B7" s="188" t="s">
        <v>147</v>
      </c>
      <c r="C7" s="188">
        <v>26</v>
      </c>
      <c r="G7" s="187">
        <f>IF('محاسبه فوق العاده ویژه'!F18="امتیاز",'محاسبه فوق العاده ویژه'!F20*3048,'محاسبه فوق العاده ویژه'!F20)</f>
        <v>0</v>
      </c>
    </row>
    <row r="8" spans="2:8" x14ac:dyDescent="0.4">
      <c r="B8" s="191" t="s">
        <v>148</v>
      </c>
      <c r="C8" s="191">
        <v>27</v>
      </c>
    </row>
    <row r="11" spans="2:8" x14ac:dyDescent="0.4">
      <c r="B11" s="190" t="s">
        <v>143</v>
      </c>
      <c r="C11" s="190" t="s">
        <v>43</v>
      </c>
      <c r="D11" s="190" t="s">
        <v>44</v>
      </c>
      <c r="E11" s="190" t="s">
        <v>152</v>
      </c>
    </row>
    <row r="12" spans="2:8" x14ac:dyDescent="0.4">
      <c r="B12" s="188">
        <v>1</v>
      </c>
      <c r="C12" s="188">
        <v>10</v>
      </c>
      <c r="D12" s="188">
        <v>9</v>
      </c>
      <c r="E12" s="188">
        <v>22</v>
      </c>
    </row>
    <row r="13" spans="2:8" x14ac:dyDescent="0.4">
      <c r="B13" s="191">
        <v>2</v>
      </c>
      <c r="C13" s="191">
        <v>12</v>
      </c>
      <c r="D13" s="191">
        <v>11</v>
      </c>
      <c r="E13" s="191">
        <v>23</v>
      </c>
    </row>
    <row r="14" spans="2:8" x14ac:dyDescent="0.4">
      <c r="B14" s="188">
        <v>3</v>
      </c>
      <c r="C14" s="188">
        <v>15</v>
      </c>
      <c r="D14" s="188">
        <v>14</v>
      </c>
      <c r="E14" s="188">
        <v>24</v>
      </c>
    </row>
    <row r="15" spans="2:8" x14ac:dyDescent="0.4">
      <c r="B15" s="191">
        <v>4</v>
      </c>
      <c r="C15" s="191">
        <v>18</v>
      </c>
      <c r="D15" s="191">
        <v>17</v>
      </c>
      <c r="E15" s="191">
        <v>26</v>
      </c>
    </row>
    <row r="16" spans="2:8" x14ac:dyDescent="0.4">
      <c r="B16" s="188">
        <v>5</v>
      </c>
      <c r="C16" s="188">
        <v>21</v>
      </c>
      <c r="D16" s="188">
        <v>20</v>
      </c>
      <c r="E16" s="188">
        <v>27</v>
      </c>
    </row>
    <row r="17" spans="2:6" ht="24" x14ac:dyDescent="0.4">
      <c r="B17" s="191">
        <f>'محاسبه فوق العاده ویژه'!F9</f>
        <v>1</v>
      </c>
      <c r="C17" s="191">
        <f>VLOOKUP('محاسبه فوق العاده ویژه'!F9,B11:E16,2,0)</f>
        <v>10</v>
      </c>
      <c r="D17" s="191">
        <f>VLOOKUP('محاسبه فوق العاده ویژه'!F9,B11:E16,3,0)</f>
        <v>9</v>
      </c>
      <c r="E17" s="191">
        <f>IF('محاسبه فوق العاده ویژه'!F5="بلی",E18+17.5,E18)</f>
        <v>22</v>
      </c>
      <c r="F17" s="187">
        <f>IF('محاسبه فوق العاده ویژه'!F7="ابتدایی",('محاسبه فوق العاده ویژه'!F11/Sheet1!C17)*Sheet1!E17,('محاسبه فوق العاده ویژه'!F11/Sheet1!D17)*Sheet1!E17)</f>
        <v>0</v>
      </c>
    </row>
    <row r="18" spans="2:6" x14ac:dyDescent="0.4">
      <c r="E18" s="199">
        <f>VLOOKUP('محاسبه فوق العاده ویژه'!F9,B11:E16,4,0)</f>
        <v>22</v>
      </c>
    </row>
    <row r="19" spans="2:6" x14ac:dyDescent="0.4">
      <c r="D19" s="191">
        <f>IF('محاسبه فوق العاده ویژه'!F5="بلی",D20+17.5,D20)</f>
        <v>10</v>
      </c>
    </row>
    <row r="20" spans="2:6" x14ac:dyDescent="0.4">
      <c r="D20" s="199">
        <f>IF('محاسبه فوق العاده ویژه'!F7="ابتدایی",C17,D17)</f>
        <v>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Q93"/>
  <sheetViews>
    <sheetView rightToLeft="1" topLeftCell="A29" workbookViewId="0">
      <selection activeCell="J14" sqref="J14"/>
    </sheetView>
  </sheetViews>
  <sheetFormatPr defaultColWidth="9" defaultRowHeight="14.25" x14ac:dyDescent="0.2"/>
  <cols>
    <col min="1" max="6" width="9" style="98"/>
    <col min="7" max="7" width="36.25" style="98" bestFit="1" customWidth="1"/>
    <col min="8" max="8" width="10.375" style="98" bestFit="1" customWidth="1"/>
    <col min="9" max="9" width="9" style="98"/>
    <col min="10" max="10" width="10.125" style="98" bestFit="1" customWidth="1"/>
    <col min="11" max="23" width="9" style="98"/>
    <col min="24" max="24" width="8.125" style="50" customWidth="1"/>
    <col min="25" max="25" width="18.625" style="50" customWidth="1"/>
    <col min="26" max="26" width="11.625" style="50" customWidth="1"/>
    <col min="27" max="27" width="12.625" style="50" customWidth="1"/>
    <col min="28" max="28" width="11.625" style="50" customWidth="1"/>
    <col min="29" max="29" width="12.625" style="50" customWidth="1"/>
    <col min="30" max="30" width="13.875" style="50" bestFit="1" customWidth="1"/>
    <col min="31" max="35" width="9.125" style="50"/>
    <col min="36" max="36" width="14.75" style="50" customWidth="1"/>
    <col min="37" max="37" width="9.125" style="50"/>
    <col min="38" max="38" width="11.25" style="50" bestFit="1" customWidth="1"/>
    <col min="39" max="39" width="9.125" style="50"/>
    <col min="40" max="40" width="12.75" style="50" bestFit="1" customWidth="1"/>
    <col min="41" max="41" width="9.125" style="50"/>
    <col min="42" max="42" width="16.375" style="50" bestFit="1" customWidth="1"/>
    <col min="43" max="43" width="10.25" style="50" customWidth="1"/>
    <col min="44" max="16384" width="9" style="98"/>
  </cols>
  <sheetData>
    <row r="1" spans="2:29" ht="15" thickBot="1" x14ac:dyDescent="0.25">
      <c r="C1" s="110"/>
      <c r="O1" s="98">
        <v>0</v>
      </c>
      <c r="U1" s="98">
        <v>0</v>
      </c>
    </row>
    <row r="2" spans="2:29" ht="22.5" x14ac:dyDescent="0.2">
      <c r="B2" s="111"/>
      <c r="C2" s="112">
        <v>4</v>
      </c>
      <c r="D2" s="113" t="s">
        <v>29</v>
      </c>
      <c r="E2" s="110" t="s">
        <v>26</v>
      </c>
      <c r="G2" s="177" t="s">
        <v>126</v>
      </c>
      <c r="H2" s="161" t="e">
        <f>SUM(#REF!)</f>
        <v>#REF!</v>
      </c>
      <c r="I2" s="161" t="e">
        <f>SUM(#REF!)</f>
        <v>#REF!</v>
      </c>
      <c r="L2" s="98">
        <v>0</v>
      </c>
      <c r="M2" s="98">
        <v>0</v>
      </c>
      <c r="O2" s="98">
        <v>700</v>
      </c>
      <c r="Q2" s="114" t="s">
        <v>43</v>
      </c>
      <c r="S2" s="98" t="s">
        <v>8</v>
      </c>
      <c r="U2" s="98">
        <v>1</v>
      </c>
    </row>
    <row r="3" spans="2:29" ht="23.25" thickBot="1" x14ac:dyDescent="0.25">
      <c r="C3" s="112">
        <v>5</v>
      </c>
      <c r="D3" s="113" t="s">
        <v>30</v>
      </c>
      <c r="E3" s="110" t="s">
        <v>23</v>
      </c>
      <c r="G3" s="177" t="s">
        <v>127</v>
      </c>
      <c r="H3" s="161" t="e">
        <f>H2-#REF!</f>
        <v>#REF!</v>
      </c>
      <c r="L3" s="98">
        <v>210</v>
      </c>
      <c r="M3" s="98">
        <v>810</v>
      </c>
      <c r="O3" s="98">
        <v>1500</v>
      </c>
      <c r="Q3" s="115" t="s">
        <v>44</v>
      </c>
      <c r="S3" s="98" t="s">
        <v>9</v>
      </c>
      <c r="U3" s="98">
        <v>2</v>
      </c>
    </row>
    <row r="4" spans="2:29" ht="23.25" thickBot="1" x14ac:dyDescent="0.25">
      <c r="C4" s="112">
        <v>6</v>
      </c>
      <c r="D4" s="113" t="s">
        <v>31</v>
      </c>
      <c r="E4" s="110" t="s">
        <v>24</v>
      </c>
      <c r="G4" s="177" t="s">
        <v>124</v>
      </c>
      <c r="H4" s="161" t="e">
        <f>IF(H2&lt;35000000,35000000-H2,0)</f>
        <v>#REF!</v>
      </c>
      <c r="L4" s="98">
        <v>420</v>
      </c>
      <c r="O4" s="98">
        <v>2000</v>
      </c>
      <c r="U4" s="98">
        <v>3</v>
      </c>
      <c r="Y4" s="116" t="s">
        <v>36</v>
      </c>
      <c r="Z4" s="117"/>
      <c r="AA4" s="118" t="s">
        <v>42</v>
      </c>
      <c r="AB4" s="119" t="s">
        <v>47</v>
      </c>
      <c r="AC4" s="118" t="s">
        <v>47</v>
      </c>
    </row>
    <row r="5" spans="2:29" ht="22.5" x14ac:dyDescent="0.55000000000000004">
      <c r="C5" s="112">
        <v>7</v>
      </c>
      <c r="D5" s="113" t="s">
        <v>32</v>
      </c>
      <c r="E5" s="110" t="s">
        <v>25</v>
      </c>
      <c r="G5" s="177" t="s">
        <v>125</v>
      </c>
      <c r="H5" s="174" t="e">
        <f>IF(H6&gt;0,H6-(H6*2),0)</f>
        <v>#REF!</v>
      </c>
      <c r="L5" s="98">
        <v>630</v>
      </c>
      <c r="U5" s="98">
        <v>4</v>
      </c>
      <c r="Y5" s="120" t="s">
        <v>26</v>
      </c>
      <c r="Z5" s="1">
        <v>1300</v>
      </c>
      <c r="AA5" s="2">
        <f>IF(Y5=Sheet2!H24,Z5,0)</f>
        <v>0</v>
      </c>
      <c r="AB5" s="1">
        <v>18</v>
      </c>
      <c r="AC5" s="2">
        <f>IF(Sheet2!H24=Y5,AB5,0)</f>
        <v>0</v>
      </c>
    </row>
    <row r="6" spans="2:29" ht="22.5" x14ac:dyDescent="0.55000000000000004">
      <c r="C6" s="112">
        <v>8</v>
      </c>
      <c r="D6" s="113" t="s">
        <v>33</v>
      </c>
      <c r="E6" s="110" t="s">
        <v>34</v>
      </c>
      <c r="G6" s="177" t="s">
        <v>128</v>
      </c>
      <c r="H6" s="161" t="e">
        <f>H3-25000000</f>
        <v>#REF!</v>
      </c>
      <c r="L6" s="98">
        <v>840</v>
      </c>
      <c r="U6" s="98">
        <v>5</v>
      </c>
      <c r="Y6" s="121" t="s">
        <v>23</v>
      </c>
      <c r="Z6" s="3">
        <v>1450</v>
      </c>
      <c r="AA6" s="4">
        <f>IF(Y6=Sheet2!H24,Z6,0)</f>
        <v>0</v>
      </c>
      <c r="AB6" s="3">
        <v>25</v>
      </c>
      <c r="AC6" s="2">
        <f>IF(Sheet2!H24=Y6,AB6,0)</f>
        <v>0</v>
      </c>
    </row>
    <row r="7" spans="2:29" ht="22.5" x14ac:dyDescent="0.55000000000000004">
      <c r="C7" s="112">
        <v>9</v>
      </c>
      <c r="E7" s="110" t="s">
        <v>35</v>
      </c>
      <c r="G7" s="177"/>
      <c r="H7" s="128"/>
      <c r="L7" s="98">
        <v>1050</v>
      </c>
      <c r="U7" s="98">
        <v>6</v>
      </c>
      <c r="Y7" s="121" t="s">
        <v>24</v>
      </c>
      <c r="Z7" s="3">
        <v>1700</v>
      </c>
      <c r="AA7" s="4">
        <f>IF(Y7=Sheet2!H24,Z7,0)</f>
        <v>0</v>
      </c>
      <c r="AB7" s="3">
        <v>32</v>
      </c>
      <c r="AC7" s="2">
        <f>IF(Sheet2!H24=Y7,AB7,0)</f>
        <v>0</v>
      </c>
    </row>
    <row r="8" spans="2:29" ht="22.5" x14ac:dyDescent="0.55000000000000004">
      <c r="C8" s="112">
        <v>10</v>
      </c>
      <c r="G8" s="177" t="s">
        <v>129</v>
      </c>
      <c r="H8" s="174"/>
      <c r="L8" s="98">
        <v>1260</v>
      </c>
      <c r="U8" s="98">
        <v>7</v>
      </c>
      <c r="Y8" s="121" t="s">
        <v>25</v>
      </c>
      <c r="Z8" s="3">
        <v>2100</v>
      </c>
      <c r="AA8" s="4">
        <f>IF(Y8=Sheet2!H24,Z8,0)</f>
        <v>2100</v>
      </c>
      <c r="AB8" s="3">
        <v>39</v>
      </c>
      <c r="AC8" s="2">
        <f>IF(Sheet2!H24=Y8,AB8,0)</f>
        <v>39</v>
      </c>
    </row>
    <row r="9" spans="2:29" ht="23.25" thickBot="1" x14ac:dyDescent="0.6">
      <c r="C9" s="112">
        <v>11</v>
      </c>
      <c r="G9" s="213"/>
      <c r="H9" s="213"/>
      <c r="L9" s="98">
        <v>1470</v>
      </c>
      <c r="U9" s="98">
        <v>8</v>
      </c>
      <c r="Y9" s="121" t="s">
        <v>34</v>
      </c>
      <c r="Z9" s="3">
        <v>2600</v>
      </c>
      <c r="AA9" s="4">
        <f>IF(Y9=Sheet2!H24,Z9,0)</f>
        <v>0</v>
      </c>
      <c r="AB9" s="3">
        <v>46</v>
      </c>
      <c r="AC9" s="2">
        <f>IF(Sheet2!H24=Y9,AB9,0)</f>
        <v>0</v>
      </c>
    </row>
    <row r="10" spans="2:29" ht="24.75" thickBot="1" x14ac:dyDescent="0.6">
      <c r="C10" s="112">
        <v>12</v>
      </c>
      <c r="G10" s="97" t="s">
        <v>107</v>
      </c>
      <c r="H10" s="122">
        <v>0</v>
      </c>
      <c r="L10" s="98">
        <v>1680</v>
      </c>
      <c r="U10" s="98">
        <v>9</v>
      </c>
      <c r="Y10" s="123" t="s">
        <v>35</v>
      </c>
      <c r="Z10" s="5">
        <v>3100</v>
      </c>
      <c r="AA10" s="6">
        <f>IF(Y10=Sheet2!H24,Z10,0)</f>
        <v>0</v>
      </c>
      <c r="AB10" s="5">
        <v>53</v>
      </c>
      <c r="AC10" s="20">
        <f>IF(Sheet2!H24=Y10,AB10,0)</f>
        <v>0</v>
      </c>
    </row>
    <row r="11" spans="2:29" ht="23.25" thickBot="1" x14ac:dyDescent="0.6">
      <c r="C11" s="112">
        <v>13</v>
      </c>
      <c r="U11" s="98">
        <v>10</v>
      </c>
      <c r="Y11" s="222" t="s">
        <v>42</v>
      </c>
      <c r="Z11" s="223"/>
      <c r="AA11" s="32">
        <f>SUM(AA5:AA10)</f>
        <v>2100</v>
      </c>
      <c r="AB11" s="24">
        <f>SUM(AC5:AC10)</f>
        <v>39</v>
      </c>
      <c r="AC11" s="21">
        <f>(AB11*Sheet2!H26)+((Sheet2!H27/12)*AB11)</f>
        <v>0</v>
      </c>
    </row>
    <row r="12" spans="2:29" ht="22.5" x14ac:dyDescent="0.55000000000000004">
      <c r="C12" s="112">
        <v>14</v>
      </c>
      <c r="U12" s="98">
        <v>11</v>
      </c>
      <c r="Y12" s="231" t="s">
        <v>50</v>
      </c>
      <c r="Z12" s="232"/>
      <c r="AA12" s="232"/>
      <c r="AB12" s="233"/>
      <c r="AC12" s="22">
        <f>Sheet2!H28/2</f>
        <v>0</v>
      </c>
    </row>
    <row r="13" spans="2:29" ht="23.25" thickBot="1" x14ac:dyDescent="0.6">
      <c r="C13" s="112">
        <v>15</v>
      </c>
      <c r="U13" s="98">
        <v>12</v>
      </c>
      <c r="Y13" s="234" t="s">
        <v>51</v>
      </c>
      <c r="Z13" s="235"/>
      <c r="AA13" s="235"/>
      <c r="AB13" s="235"/>
      <c r="AC13" s="23">
        <f>AC11+AC12</f>
        <v>0</v>
      </c>
    </row>
    <row r="14" spans="2:29" ht="20.25" thickBot="1" x14ac:dyDescent="0.55000000000000004">
      <c r="C14" s="112">
        <v>16</v>
      </c>
      <c r="G14" s="213" t="s">
        <v>61</v>
      </c>
      <c r="H14" s="213"/>
      <c r="U14" s="98">
        <v>13</v>
      </c>
    </row>
    <row r="15" spans="2:29" ht="21" x14ac:dyDescent="0.2">
      <c r="C15" s="112">
        <v>17</v>
      </c>
      <c r="G15" s="41" t="s">
        <v>59</v>
      </c>
      <c r="H15" s="124">
        <v>0</v>
      </c>
      <c r="U15" s="98">
        <v>14</v>
      </c>
    </row>
    <row r="16" spans="2:29" ht="21.75" thickBot="1" x14ac:dyDescent="0.25">
      <c r="G16" s="43" t="s">
        <v>60</v>
      </c>
      <c r="H16" s="125">
        <v>0</v>
      </c>
      <c r="U16" s="98">
        <v>15</v>
      </c>
    </row>
    <row r="17" spans="5:32" ht="15" thickBot="1" x14ac:dyDescent="0.25">
      <c r="U17" s="98">
        <v>16</v>
      </c>
    </row>
    <row r="18" spans="5:32" x14ac:dyDescent="0.2">
      <c r="G18" s="215" t="s">
        <v>62</v>
      </c>
      <c r="H18" s="215"/>
      <c r="U18" s="98">
        <v>17</v>
      </c>
    </row>
    <row r="19" spans="5:32" ht="15" thickBot="1" x14ac:dyDescent="0.25">
      <c r="G19" s="216"/>
      <c r="H19" s="216"/>
      <c r="U19" s="98">
        <v>18</v>
      </c>
    </row>
    <row r="20" spans="5:32" ht="15" thickBot="1" x14ac:dyDescent="0.25">
      <c r="U20" s="98">
        <v>19</v>
      </c>
    </row>
    <row r="21" spans="5:32" ht="21.75" thickBot="1" x14ac:dyDescent="0.25">
      <c r="G21" s="217" t="s">
        <v>41</v>
      </c>
      <c r="H21" s="218"/>
      <c r="U21" s="98">
        <v>20</v>
      </c>
    </row>
    <row r="22" spans="5:32" ht="22.5" x14ac:dyDescent="0.55000000000000004">
      <c r="E22" s="184" t="e">
        <f>ROUND(#REF!-#REF!,0)</f>
        <v>#REF!</v>
      </c>
      <c r="G22" s="42" t="s">
        <v>27</v>
      </c>
      <c r="H22" s="126">
        <v>5</v>
      </c>
      <c r="U22" s="98">
        <v>21</v>
      </c>
      <c r="X22" s="29" t="s">
        <v>37</v>
      </c>
      <c r="Y22" s="30" t="s">
        <v>0</v>
      </c>
      <c r="Z22" s="31"/>
      <c r="AA22" s="98"/>
      <c r="AB22" s="98"/>
      <c r="AC22" s="98"/>
      <c r="AD22" s="98"/>
    </row>
    <row r="23" spans="5:32" ht="22.5" x14ac:dyDescent="0.55000000000000004">
      <c r="G23" s="42" t="s">
        <v>28</v>
      </c>
      <c r="H23" s="126" t="s">
        <v>29</v>
      </c>
      <c r="U23" s="98">
        <v>22</v>
      </c>
      <c r="X23" s="28">
        <v>1</v>
      </c>
      <c r="Y23" s="7">
        <v>2400</v>
      </c>
      <c r="Z23" s="11">
        <f>IF(X23=Sheet2!H22,Y23,0)</f>
        <v>0</v>
      </c>
      <c r="AA23" s="98"/>
      <c r="AB23" s="98"/>
      <c r="AC23" s="98"/>
      <c r="AD23" s="98"/>
    </row>
    <row r="24" spans="5:32" ht="22.5" x14ac:dyDescent="0.55000000000000004">
      <c r="G24" s="42" t="s">
        <v>22</v>
      </c>
      <c r="H24" s="126" t="s">
        <v>25</v>
      </c>
      <c r="U24" s="98">
        <v>23</v>
      </c>
      <c r="X24" s="44">
        <v>2</v>
      </c>
      <c r="Y24" s="45">
        <v>2600</v>
      </c>
      <c r="Z24" s="4">
        <f>IF(X24=Sheet2!H22,Y24,0)</f>
        <v>0</v>
      </c>
      <c r="AA24" s="98"/>
      <c r="AB24" s="98"/>
      <c r="AC24" s="98"/>
      <c r="AD24" s="98"/>
    </row>
    <row r="25" spans="5:32" ht="22.5" x14ac:dyDescent="0.55000000000000004">
      <c r="G25" s="42" t="s">
        <v>45</v>
      </c>
      <c r="H25" s="126" t="s">
        <v>43</v>
      </c>
      <c r="U25" s="98">
        <v>24</v>
      </c>
      <c r="X25" s="28">
        <v>3</v>
      </c>
      <c r="Y25" s="7">
        <v>2800</v>
      </c>
      <c r="Z25" s="11">
        <f>IF(X25=Sheet2!H22,Y25,0)</f>
        <v>0</v>
      </c>
      <c r="AA25" s="98"/>
      <c r="AB25" s="98"/>
      <c r="AC25" s="98"/>
      <c r="AD25" s="98"/>
    </row>
    <row r="26" spans="5:32" ht="22.5" x14ac:dyDescent="0.55000000000000004">
      <c r="G26" s="42" t="s">
        <v>46</v>
      </c>
      <c r="H26" s="126">
        <v>0</v>
      </c>
      <c r="U26" s="98">
        <v>25</v>
      </c>
      <c r="X26" s="44">
        <v>4</v>
      </c>
      <c r="Y26" s="45">
        <v>3000</v>
      </c>
      <c r="Z26" s="4">
        <f>IF(X26=Sheet2!H22,Y26,0)</f>
        <v>0</v>
      </c>
      <c r="AA26" s="98"/>
      <c r="AB26" s="98"/>
      <c r="AC26" s="98"/>
      <c r="AD26" s="98"/>
    </row>
    <row r="27" spans="5:32" ht="22.5" x14ac:dyDescent="0.55000000000000004">
      <c r="G27" s="42" t="s">
        <v>48</v>
      </c>
      <c r="H27" s="126">
        <v>0</v>
      </c>
      <c r="U27" s="98">
        <v>26</v>
      </c>
      <c r="X27" s="28">
        <v>5</v>
      </c>
      <c r="Y27" s="7">
        <v>3200</v>
      </c>
      <c r="Z27" s="11">
        <f>IF(X27=Sheet2!H22,Y27,0)</f>
        <v>3200</v>
      </c>
      <c r="AA27" s="98"/>
      <c r="AB27" s="98"/>
      <c r="AC27" s="98"/>
      <c r="AD27" s="98"/>
    </row>
    <row r="28" spans="5:32" ht="23.25" thickBot="1" x14ac:dyDescent="0.6">
      <c r="G28" s="43" t="s">
        <v>49</v>
      </c>
      <c r="H28" s="125">
        <v>0</v>
      </c>
      <c r="U28" s="98">
        <v>27</v>
      </c>
      <c r="X28" s="44">
        <v>6</v>
      </c>
      <c r="Y28" s="45">
        <v>3400</v>
      </c>
      <c r="Z28" s="4">
        <f>IF(X28=Sheet2!H22,Y28,0)</f>
        <v>0</v>
      </c>
      <c r="AA28" s="98"/>
      <c r="AB28" s="98"/>
      <c r="AC28" s="98"/>
      <c r="AD28" s="98"/>
    </row>
    <row r="29" spans="5:32" ht="23.25" thickBot="1" x14ac:dyDescent="0.6">
      <c r="U29" s="98">
        <v>28</v>
      </c>
      <c r="X29" s="28">
        <v>7</v>
      </c>
      <c r="Y29" s="7">
        <v>3600</v>
      </c>
      <c r="Z29" s="11">
        <f>IF(X29=Sheet2!H22,Y29,0)</f>
        <v>0</v>
      </c>
      <c r="AA29" s="98"/>
      <c r="AB29" s="98"/>
      <c r="AC29" s="98"/>
      <c r="AD29" s="98"/>
      <c r="AF29" s="127"/>
    </row>
    <row r="30" spans="5:32" ht="22.5" x14ac:dyDescent="0.55000000000000004">
      <c r="G30" s="49"/>
      <c r="H30" s="49"/>
      <c r="I30" s="49"/>
      <c r="U30" s="98">
        <v>29</v>
      </c>
      <c r="X30" s="44">
        <v>8</v>
      </c>
      <c r="Y30" s="45">
        <v>3800</v>
      </c>
      <c r="Z30" s="4">
        <f>IF(X30=Sheet2!H22,Y30,0)</f>
        <v>0</v>
      </c>
      <c r="AA30" s="98"/>
      <c r="AB30" s="98"/>
      <c r="AC30" s="98"/>
      <c r="AD30" s="98"/>
    </row>
    <row r="31" spans="5:32" ht="22.5" x14ac:dyDescent="0.55000000000000004">
      <c r="G31" s="219" t="s">
        <v>55</v>
      </c>
      <c r="H31" s="219"/>
      <c r="J31" s="184" t="e">
        <f>ROUND(Sheet2!K33,0)</f>
        <v>#REF!</v>
      </c>
      <c r="K31" s="185" t="e">
        <f>('محاسبه فوق العاده ویژه'!#REF!*100)/Sheet2!I36</f>
        <v>#REF!</v>
      </c>
      <c r="U31" s="98">
        <v>30</v>
      </c>
      <c r="X31" s="28">
        <v>9</v>
      </c>
      <c r="Y31" s="7">
        <v>4000</v>
      </c>
      <c r="Z31" s="11">
        <f>IF(X31=Sheet2!H22,Y31,0)</f>
        <v>0</v>
      </c>
      <c r="AA31" s="98"/>
      <c r="AB31" s="98"/>
      <c r="AC31" s="98"/>
      <c r="AD31" s="98"/>
      <c r="AF31" s="128"/>
    </row>
    <row r="32" spans="5:32" ht="22.5" x14ac:dyDescent="0.55000000000000004">
      <c r="G32" s="219" t="s">
        <v>56</v>
      </c>
      <c r="H32" s="219"/>
      <c r="J32" s="184" t="e">
        <f>ROUND(Sheet2!K34,0)</f>
        <v>#REF!</v>
      </c>
      <c r="K32" s="185" t="e">
        <f>('محاسبه فوق العاده ویژه'!#REF!*100)/Sheet2!I37</f>
        <v>#REF!</v>
      </c>
      <c r="X32" s="44">
        <v>10</v>
      </c>
      <c r="Y32" s="45">
        <v>4200</v>
      </c>
      <c r="Z32" s="4">
        <f>IF(X32=Sheet2!H22,Y32,0)</f>
        <v>0</v>
      </c>
      <c r="AA32" s="98"/>
      <c r="AB32" s="98"/>
      <c r="AC32" s="98"/>
      <c r="AD32" s="98"/>
    </row>
    <row r="33" spans="7:43" ht="22.5" x14ac:dyDescent="0.55000000000000004">
      <c r="G33" s="219" t="s">
        <v>66</v>
      </c>
      <c r="H33" s="219"/>
      <c r="J33" s="184" t="e">
        <f>ROUND(Sheet2!K31,0)</f>
        <v>#REF!</v>
      </c>
      <c r="K33" s="185" t="e">
        <f>('محاسبه فوق العاده ویژه'!#REF!*100)/Sheet2!AQ38</f>
        <v>#REF!</v>
      </c>
      <c r="X33" s="28">
        <v>11</v>
      </c>
      <c r="Y33" s="7">
        <v>4400</v>
      </c>
      <c r="Z33" s="11">
        <f>IF(X33=Sheet2!H22,Y33,0)</f>
        <v>0</v>
      </c>
      <c r="AA33" s="98"/>
      <c r="AB33" s="98"/>
      <c r="AC33" s="98"/>
      <c r="AD33" s="98"/>
    </row>
    <row r="34" spans="7:43" ht="22.5" x14ac:dyDescent="0.55000000000000004">
      <c r="G34" s="219" t="s">
        <v>71</v>
      </c>
      <c r="H34" s="219"/>
      <c r="J34" s="184" t="e">
        <f>ROUND(Sheet2!K35,0)</f>
        <v>#REF!</v>
      </c>
      <c r="K34" s="185" t="e">
        <f>('محاسبه فوق العاده ویژه'!#REF!*100)/Sheet2!AQ38</f>
        <v>#REF!</v>
      </c>
      <c r="X34" s="44">
        <v>12</v>
      </c>
      <c r="Y34" s="45">
        <v>4600</v>
      </c>
      <c r="Z34" s="4">
        <f>IF(X34=Sheet2!H22,Y34,0)</f>
        <v>0</v>
      </c>
      <c r="AA34" s="98"/>
      <c r="AB34" s="98"/>
      <c r="AC34" s="98"/>
      <c r="AD34" s="98"/>
    </row>
    <row r="35" spans="7:43" ht="22.5" x14ac:dyDescent="0.55000000000000004">
      <c r="G35" s="219" t="s">
        <v>122</v>
      </c>
      <c r="H35" s="219"/>
      <c r="J35" s="184" t="e">
        <f>ROUND(Sheet2!K32,0)</f>
        <v>#REF!</v>
      </c>
      <c r="K35" s="185" t="e">
        <f>(#REF!*100)/#REF!</f>
        <v>#REF!</v>
      </c>
      <c r="X35" s="28">
        <v>13</v>
      </c>
      <c r="Y35" s="7">
        <v>4800</v>
      </c>
      <c r="Z35" s="11">
        <f>IF(X35=Sheet2!H22,Y35,0)</f>
        <v>0</v>
      </c>
      <c r="AA35" s="98"/>
      <c r="AB35" s="98"/>
      <c r="AC35" s="98"/>
      <c r="AD35" s="98"/>
    </row>
    <row r="36" spans="7:43" ht="22.5" x14ac:dyDescent="0.55000000000000004">
      <c r="G36" s="219" t="s">
        <v>67</v>
      </c>
      <c r="H36" s="219"/>
      <c r="I36" s="59" t="e">
        <f>SUM(#REF!,#REF!,#REF!,#REF!,#REF!,#REF!,#REF!,#REF!,#REF!,#REF!)</f>
        <v>#REF!</v>
      </c>
      <c r="X36" s="44">
        <v>14</v>
      </c>
      <c r="Y36" s="45">
        <v>5000</v>
      </c>
      <c r="Z36" s="4">
        <f>IF(X36=Sheet2!H22,Y36,0)</f>
        <v>0</v>
      </c>
      <c r="AA36" s="98"/>
      <c r="AB36" s="98"/>
      <c r="AC36" s="98"/>
      <c r="AD36" s="98"/>
      <c r="AO36" s="60"/>
      <c r="AP36" s="129"/>
      <c r="AQ36" s="130"/>
    </row>
    <row r="37" spans="7:43" ht="23.25" thickBot="1" x14ac:dyDescent="0.6">
      <c r="G37" s="219" t="s">
        <v>123</v>
      </c>
      <c r="H37" s="219"/>
      <c r="I37" s="59" t="e">
        <f>SUM(#REF!,#REF!,#REF!,#REF!,#REF!,#REF!,#REF!,#REF!)</f>
        <v>#REF!</v>
      </c>
      <c r="X37" s="28">
        <v>15</v>
      </c>
      <c r="Y37" s="7">
        <v>5200</v>
      </c>
      <c r="Z37" s="11">
        <f>IF(X37=Sheet2!H22,Y37,0)</f>
        <v>0</v>
      </c>
      <c r="AA37" s="98"/>
      <c r="AB37" s="98"/>
      <c r="AC37" s="98"/>
      <c r="AD37" s="98"/>
    </row>
    <row r="38" spans="7:43" ht="23.25" thickBot="1" x14ac:dyDescent="0.6">
      <c r="G38" s="219" t="s">
        <v>68</v>
      </c>
      <c r="H38" s="219"/>
      <c r="I38" s="59" t="e">
        <f>ROUND(#REF!*Sheet2!H42%,0)</f>
        <v>#REF!</v>
      </c>
      <c r="X38" s="46">
        <v>16</v>
      </c>
      <c r="Y38" s="47">
        <v>5400</v>
      </c>
      <c r="Z38" s="48">
        <f>IF(X38=Sheet2!H22,Y38,0)</f>
        <v>0</v>
      </c>
      <c r="AA38" s="98"/>
      <c r="AB38" s="98"/>
      <c r="AC38" s="98"/>
      <c r="AD38" s="98"/>
      <c r="AI38" s="131" t="s">
        <v>43</v>
      </c>
      <c r="AJ38" s="132" t="s">
        <v>44</v>
      </c>
      <c r="AL38" s="133" t="s">
        <v>11</v>
      </c>
      <c r="AN38" s="133" t="s">
        <v>53</v>
      </c>
      <c r="AP38" s="134" t="s">
        <v>54</v>
      </c>
      <c r="AQ38" s="135" t="e">
        <f>SUM(#REF!,#REF!,#REF!)</f>
        <v>#REF!</v>
      </c>
    </row>
    <row r="39" spans="7:43" ht="22.5" x14ac:dyDescent="0.55000000000000004">
      <c r="G39" s="219" t="s">
        <v>69</v>
      </c>
      <c r="H39" s="219"/>
      <c r="I39" s="59" t="e">
        <f>ROUND(#REF!*Sheet2!H42%,0)</f>
        <v>#REF!</v>
      </c>
      <c r="X39" s="25" t="s">
        <v>29</v>
      </c>
      <c r="Y39" s="9">
        <v>0</v>
      </c>
      <c r="Z39" s="10">
        <f>IF(X39=Sheet2!H23,0,0)</f>
        <v>0</v>
      </c>
      <c r="AA39" s="226" t="s">
        <v>39</v>
      </c>
      <c r="AB39" s="227"/>
      <c r="AC39" s="227"/>
      <c r="AD39" s="228"/>
      <c r="AF39" s="33">
        <v>1</v>
      </c>
      <c r="AG39" s="34">
        <f>IF(AND(AND(X39=Sheet2!H23,Sheet2!H26&gt;1,Sheet2!H28&gt;119,Sheet2!H15&gt;69,Sheet2!H16&gt;69),((Sheet2!H15+Sheet2!H16)/2)&gt;=75),1,0)</f>
        <v>0</v>
      </c>
      <c r="AI39" s="136">
        <f>IF(AG39=AF39,AD44*30%,0)</f>
        <v>0</v>
      </c>
      <c r="AJ39" s="137">
        <f>IF(AG39=AF39,AD44*20%,0)</f>
        <v>0</v>
      </c>
      <c r="AL39" s="138">
        <f>IF(AG39=AF39,'محاسبه فوق العاده ویژه'!F23*10%,0)</f>
        <v>0</v>
      </c>
      <c r="AN39" s="138">
        <f>IF(AG39=AF39,AA11*10%,0)</f>
        <v>0</v>
      </c>
    </row>
    <row r="40" spans="7:43" ht="22.5" x14ac:dyDescent="0.55000000000000004">
      <c r="X40" s="26" t="s">
        <v>30</v>
      </c>
      <c r="Y40" s="7">
        <v>250</v>
      </c>
      <c r="Z40" s="11">
        <f>IF(X40=Sheet2!H23,Y40,0)</f>
        <v>0</v>
      </c>
      <c r="AA40" s="26">
        <f>AA44</f>
        <v>3520</v>
      </c>
      <c r="AB40" s="7">
        <f>IF(X40=Sheet2!H23,AA41,0)</f>
        <v>0</v>
      </c>
      <c r="AC40" s="15">
        <v>0.15</v>
      </c>
      <c r="AD40" s="16">
        <f>AC40*AB40</f>
        <v>0</v>
      </c>
      <c r="AF40" s="28">
        <v>2</v>
      </c>
      <c r="AG40" s="35">
        <f>IF(X40=Sheet2!H23,AF40,0)</f>
        <v>0</v>
      </c>
      <c r="AI40" s="139">
        <f>IF(AG40=AF40,AD44*25%,0)</f>
        <v>0</v>
      </c>
      <c r="AJ40" s="140">
        <f>IF(AG40=AF40,AD44*15%,0)</f>
        <v>0</v>
      </c>
      <c r="AL40" s="141">
        <f>IF(AG40=AF40,'محاسبه فوق العاده ویژه'!F23*15%,0)</f>
        <v>0</v>
      </c>
      <c r="AN40" s="138">
        <f>IF(AG40=AF40,AA11*15%,0)</f>
        <v>0</v>
      </c>
    </row>
    <row r="41" spans="7:43" ht="23.25" thickBot="1" x14ac:dyDescent="0.6">
      <c r="G41" s="214" t="s">
        <v>73</v>
      </c>
      <c r="H41" s="213"/>
      <c r="X41" s="26" t="s">
        <v>31</v>
      </c>
      <c r="Y41" s="7">
        <v>600</v>
      </c>
      <c r="Z41" s="11">
        <f>IF(X41=Sheet2!H23,Y41,0)</f>
        <v>0</v>
      </c>
      <c r="AA41" s="26">
        <f>AA44</f>
        <v>3520</v>
      </c>
      <c r="AB41" s="7">
        <f>IF(X41=Sheet2!H23,AA41,0)</f>
        <v>0</v>
      </c>
      <c r="AC41" s="15">
        <v>0.25</v>
      </c>
      <c r="AD41" s="16">
        <f>AC41*AB41</f>
        <v>0</v>
      </c>
      <c r="AF41" s="28">
        <v>3</v>
      </c>
      <c r="AG41" s="35">
        <f>IF(X41=Sheet2!H23,AF41,0)</f>
        <v>0</v>
      </c>
      <c r="AI41" s="139">
        <f>IF(AG41=AF41,AD44*17%,0)</f>
        <v>0</v>
      </c>
      <c r="AJ41" s="140">
        <f>IF(AG41=AF41,AD44*10%,0)</f>
        <v>0</v>
      </c>
      <c r="AL41" s="141">
        <f>IF(AG41=AF41,'محاسبه فوق العاده ویژه'!F23*25%,0)</f>
        <v>0</v>
      </c>
      <c r="AN41" s="138">
        <f>IF(AG41=AF41,AA11*25%,0)</f>
        <v>0</v>
      </c>
    </row>
    <row r="42" spans="7:43" ht="24.75" thickBot="1" x14ac:dyDescent="0.6">
      <c r="G42" s="62" t="s">
        <v>72</v>
      </c>
      <c r="H42" s="142">
        <v>0</v>
      </c>
      <c r="X42" s="26" t="s">
        <v>32</v>
      </c>
      <c r="Y42" s="7">
        <v>1050</v>
      </c>
      <c r="Z42" s="11">
        <f>IF(X42=Sheet2!H23,Y42,0)</f>
        <v>0</v>
      </c>
      <c r="AA42" s="26">
        <f>AA44</f>
        <v>3520</v>
      </c>
      <c r="AB42" s="7">
        <f>IF(X42=Sheet2!H23,AA42,0)</f>
        <v>0</v>
      </c>
      <c r="AC42" s="15">
        <v>0.35</v>
      </c>
      <c r="AD42" s="16">
        <f>AC42*AB42</f>
        <v>0</v>
      </c>
      <c r="AF42" s="28">
        <v>4</v>
      </c>
      <c r="AG42" s="35">
        <f>IF(X42=Sheet2!H23,AF42,0)</f>
        <v>0</v>
      </c>
      <c r="AI42" s="139">
        <f>IF(AG42=AF42,AD44*8%,0)</f>
        <v>0</v>
      </c>
      <c r="AJ42" s="140">
        <f>IF(AG42=AF42,AD44*5%,0)</f>
        <v>0</v>
      </c>
      <c r="AL42" s="141">
        <f>IF(AG42=AF42,'محاسبه فوق العاده ویژه'!F23*35%,0)</f>
        <v>0</v>
      </c>
      <c r="AN42" s="138">
        <f>IF(AG42=AF42,AA11*35%,0)</f>
        <v>0</v>
      </c>
      <c r="AP42" s="134" t="s">
        <v>57</v>
      </c>
      <c r="AQ42" s="135" t="e">
        <f>SUM(Sheet2!H58,Sheet2!H73,Sheet2!H74)</f>
        <v>#REF!</v>
      </c>
    </row>
    <row r="43" spans="7:43" ht="23.25" thickBot="1" x14ac:dyDescent="0.6">
      <c r="X43" s="12" t="s">
        <v>33</v>
      </c>
      <c r="Y43" s="13">
        <v>1600</v>
      </c>
      <c r="Z43" s="14">
        <f>IF(X43=Sheet2!H23,Y43,0)</f>
        <v>0</v>
      </c>
      <c r="AA43" s="26">
        <f>AA44</f>
        <v>3520</v>
      </c>
      <c r="AB43" s="8">
        <f>IF(X43=Sheet2!H23,AA43,0)</f>
        <v>0</v>
      </c>
      <c r="AC43" s="17">
        <v>0.5</v>
      </c>
      <c r="AD43" s="18">
        <f>AC43*AB43</f>
        <v>0</v>
      </c>
      <c r="AF43" s="36">
        <v>5</v>
      </c>
      <c r="AG43" s="37">
        <f>IF(X43=Sheet2!H23,AF43,0)</f>
        <v>0</v>
      </c>
      <c r="AI43" s="143">
        <f>SUM(AI39:AI42)</f>
        <v>0</v>
      </c>
      <c r="AJ43" s="144">
        <f>SUM(AJ39:AJ42)</f>
        <v>0</v>
      </c>
      <c r="AL43" s="141">
        <f>IF(AG43=AF43,'محاسبه فوق العاده ویژه'!F23*50%,0)</f>
        <v>0</v>
      </c>
      <c r="AN43" s="138">
        <f>IF(AG43=AF43,AA11*50%,0)</f>
        <v>0</v>
      </c>
    </row>
    <row r="44" spans="7:43" ht="24.75" thickBot="1" x14ac:dyDescent="0.65">
      <c r="G44" s="213" t="s">
        <v>65</v>
      </c>
      <c r="H44" s="213"/>
      <c r="X44" s="224" t="s">
        <v>38</v>
      </c>
      <c r="Y44" s="225"/>
      <c r="Z44" s="27">
        <f>SUM(Z23:Z43)</f>
        <v>3200</v>
      </c>
      <c r="AA44" s="145">
        <f>Z44+(Z44*10%)</f>
        <v>3520</v>
      </c>
      <c r="AB44" s="229" t="s">
        <v>40</v>
      </c>
      <c r="AC44" s="230"/>
      <c r="AD44" s="19">
        <f>SUM(AD40:AD43,AA44)</f>
        <v>3520</v>
      </c>
      <c r="AF44" s="38" t="s">
        <v>28</v>
      </c>
      <c r="AG44" s="39">
        <f>SUM(AG39:AG43)</f>
        <v>0</v>
      </c>
      <c r="AI44" s="40" t="s">
        <v>52</v>
      </c>
      <c r="AJ44" s="146">
        <f>IF(Sheet2!H25=Sheet2!Q2,AI43,AJ43)</f>
        <v>0</v>
      </c>
      <c r="AL44" s="147">
        <f>SUM(AL39:AL43)</f>
        <v>0</v>
      </c>
      <c r="AN44" s="147">
        <f>IF(AG44&gt;0,SUM(AN39:AN43)+(AC13*50%),0)</f>
        <v>0</v>
      </c>
      <c r="AP44" s="134" t="s">
        <v>58</v>
      </c>
      <c r="AQ44" s="135" t="e">
        <f>SUM(#REF!,#REF!,#REF!)</f>
        <v>#REF!</v>
      </c>
    </row>
    <row r="45" spans="7:43" ht="24.75" thickBot="1" x14ac:dyDescent="0.25">
      <c r="G45" s="62" t="s">
        <v>64</v>
      </c>
      <c r="H45" s="69" t="s">
        <v>9</v>
      </c>
    </row>
    <row r="52" spans="7:8" ht="15" thickBot="1" x14ac:dyDescent="0.25"/>
    <row r="53" spans="7:8" ht="21" x14ac:dyDescent="0.2">
      <c r="G53" s="220" t="s">
        <v>103</v>
      </c>
      <c r="H53" s="221"/>
    </row>
    <row r="54" spans="7:8" ht="21.75" thickBot="1" x14ac:dyDescent="0.25">
      <c r="G54" s="63" t="s">
        <v>0</v>
      </c>
      <c r="H54" s="64" t="s">
        <v>1</v>
      </c>
    </row>
    <row r="55" spans="7:8" ht="21" x14ac:dyDescent="0.2">
      <c r="G55" s="53" t="e">
        <f>#REF!</f>
        <v>#REF!</v>
      </c>
      <c r="H55" s="54" t="e">
        <f>G55*'1111'!K27</f>
        <v>#REF!</v>
      </c>
    </row>
    <row r="56" spans="7:8" ht="21" x14ac:dyDescent="0.2">
      <c r="G56" s="51" t="e">
        <f>#REF!</f>
        <v>#REF!</v>
      </c>
      <c r="H56" s="52" t="e">
        <f>G56*'1111'!K27</f>
        <v>#REF!</v>
      </c>
    </row>
    <row r="57" spans="7:8" ht="21" x14ac:dyDescent="0.2">
      <c r="G57" s="56" t="e">
        <f>'1111'!K12</f>
        <v>#REF!</v>
      </c>
      <c r="H57" s="52" t="e">
        <f>G57*'1111'!K27</f>
        <v>#REF!</v>
      </c>
    </row>
    <row r="58" spans="7:8" ht="21" x14ac:dyDescent="0.2">
      <c r="G58" s="66" t="e">
        <f>SUM(G55:G57)</f>
        <v>#REF!</v>
      </c>
      <c r="H58" s="65" t="e">
        <f>SUM(H55:H57)</f>
        <v>#REF!</v>
      </c>
    </row>
    <row r="59" spans="7:8" ht="21" x14ac:dyDescent="0.2">
      <c r="G59" s="56"/>
      <c r="H59" s="55" t="e">
        <f>#REF!</f>
        <v>#REF!</v>
      </c>
    </row>
    <row r="60" spans="7:8" ht="21" x14ac:dyDescent="0.2">
      <c r="G60" s="56" t="e">
        <f>#REF!</f>
        <v>#REF!</v>
      </c>
      <c r="H60" s="55" t="e">
        <f>G60*'1111'!K27</f>
        <v>#REF!</v>
      </c>
    </row>
    <row r="61" spans="7:8" ht="21" x14ac:dyDescent="0.2">
      <c r="G61" s="56"/>
      <c r="H61" s="55" t="e">
        <f>IF('محاسبه فوق العاده ویژه'!#REF!=0,0,SUM(H55,H56,H57,H60,H64,H66,H67,H68,H73,H74)*Sheet2!K31%)</f>
        <v>#REF!</v>
      </c>
    </row>
    <row r="62" spans="7:8" ht="21" x14ac:dyDescent="0.2">
      <c r="G62" s="56"/>
      <c r="H62" s="55" t="e">
        <f>IF('محاسبه فوق العاده ویژه'!#REF!=0,0,Sheet2!AQ42*Sheet2!K33%)</f>
        <v>#REF!</v>
      </c>
    </row>
    <row r="63" spans="7:8" ht="21" x14ac:dyDescent="0.2">
      <c r="G63" s="56"/>
      <c r="H63" s="55" t="e">
        <f>IF('محاسبه فوق العاده ویژه'!#REF!=0,0,Sheet2!AQ42*Sheet2!K34%)</f>
        <v>#REF!</v>
      </c>
    </row>
    <row r="64" spans="7:8" ht="21" x14ac:dyDescent="0.2">
      <c r="G64" s="56" t="e">
        <f>#REF!</f>
        <v>#REF!</v>
      </c>
      <c r="H64" s="55" t="e">
        <f>G64*'1111'!K27</f>
        <v>#REF!</v>
      </c>
    </row>
    <row r="65" spans="7:8" ht="21" x14ac:dyDescent="0.2">
      <c r="G65" s="56"/>
      <c r="H65" s="55">
        <f>IF('1111'!K15="بلی",'1111'!K48/4,0)</f>
        <v>0</v>
      </c>
    </row>
    <row r="66" spans="7:8" ht="21" x14ac:dyDescent="0.2">
      <c r="G66" s="56" t="e">
        <f>#REF!</f>
        <v>#REF!</v>
      </c>
      <c r="H66" s="55" t="e">
        <f>G66*'1111'!K27</f>
        <v>#REF!</v>
      </c>
    </row>
    <row r="67" spans="7:8" ht="21" x14ac:dyDescent="0.2">
      <c r="G67" s="56" t="e">
        <f>#REF!</f>
        <v>#REF!</v>
      </c>
      <c r="H67" s="55" t="e">
        <f>G67*'1111'!K27</f>
        <v>#REF!</v>
      </c>
    </row>
    <row r="68" spans="7:8" ht="21" x14ac:dyDescent="0.2">
      <c r="G68" s="56" t="e">
        <f>#REF!</f>
        <v>#REF!</v>
      </c>
      <c r="H68" s="55" t="e">
        <f>G68*'1111'!K27</f>
        <v>#REF!</v>
      </c>
    </row>
    <row r="69" spans="7:8" ht="21" x14ac:dyDescent="0.2">
      <c r="G69" s="56" t="e">
        <f>#REF!</f>
        <v>#REF!</v>
      </c>
      <c r="H69" s="55" t="e">
        <f>G69*2438</f>
        <v>#REF!</v>
      </c>
    </row>
    <row r="70" spans="7:8" ht="21" x14ac:dyDescent="0.2">
      <c r="G70" s="56" t="e">
        <f>#REF!</f>
        <v>#REF!</v>
      </c>
      <c r="H70" s="55" t="e">
        <f>G70*2438</f>
        <v>#REF!</v>
      </c>
    </row>
    <row r="71" spans="7:8" ht="21" x14ac:dyDescent="0.2">
      <c r="G71" s="56"/>
      <c r="H71" s="55" t="e">
        <f>IF('محاسبه فوق العاده ویژه'!#REF!=0,0,H55*Sheet2!K35%)</f>
        <v>#REF!</v>
      </c>
    </row>
    <row r="72" spans="7:8" ht="21" x14ac:dyDescent="0.2">
      <c r="G72" s="56"/>
      <c r="H72" s="55" t="e">
        <f>'محاسبه فوق العاده ویژه'!#REF!</f>
        <v>#REF!</v>
      </c>
    </row>
    <row r="73" spans="7:8" ht="21" x14ac:dyDescent="0.2">
      <c r="G73" s="56" t="e">
        <f>#REF!</f>
        <v>#REF!</v>
      </c>
      <c r="H73" s="55" t="e">
        <f>G73*'1111'!K27</f>
        <v>#REF!</v>
      </c>
    </row>
    <row r="74" spans="7:8" ht="21" x14ac:dyDescent="0.2">
      <c r="G74" s="58" t="e">
        <f>#REF!</f>
        <v>#REF!</v>
      </c>
      <c r="H74" s="57" t="e">
        <f>G74*'1111'!K27</f>
        <v>#REF!</v>
      </c>
    </row>
    <row r="75" spans="7:8" ht="21.75" thickBot="1" x14ac:dyDescent="0.25">
      <c r="G75" s="58"/>
      <c r="H75" s="55" t="e">
        <f>IF(SUM(H58,#REF!,H60:H74)&lt;35000000,(35000000-SUM(H58,#REF!,H60:H74)),0)</f>
        <v>#REF!</v>
      </c>
    </row>
    <row r="76" spans="7:8" ht="21.75" thickBot="1" x14ac:dyDescent="0.25">
      <c r="G76" s="68" t="e">
        <f>SUM(G58:G74)</f>
        <v>#REF!</v>
      </c>
      <c r="H76" s="67" t="e">
        <f>SUM(H58:H75)</f>
        <v>#REF!</v>
      </c>
    </row>
    <row r="77" spans="7:8" ht="20.25" thickBot="1" x14ac:dyDescent="0.25">
      <c r="G77" s="102"/>
      <c r="H77" s="102"/>
    </row>
    <row r="78" spans="7:8" ht="21.75" thickBot="1" x14ac:dyDescent="0.25">
      <c r="G78" s="96"/>
      <c r="H78" s="96"/>
    </row>
    <row r="79" spans="7:8" ht="20.25" x14ac:dyDescent="0.2">
      <c r="G79" s="95"/>
      <c r="H79" s="95"/>
    </row>
    <row r="80" spans="7:8" ht="20.25" x14ac:dyDescent="0.2">
      <c r="G80" s="93"/>
      <c r="H80" s="93"/>
    </row>
    <row r="81" spans="7:8" ht="20.25" x14ac:dyDescent="0.2">
      <c r="G81" s="93"/>
      <c r="H81" s="93"/>
    </row>
    <row r="82" spans="7:8" ht="20.25" x14ac:dyDescent="0.2">
      <c r="G82" s="93"/>
      <c r="H82" s="93"/>
    </row>
    <row r="83" spans="7:8" ht="20.25" x14ac:dyDescent="0.2">
      <c r="G83" s="93"/>
      <c r="H83" s="93"/>
    </row>
    <row r="84" spans="7:8" ht="21" thickBot="1" x14ac:dyDescent="0.25">
      <c r="G84" s="94"/>
      <c r="H84" s="94"/>
    </row>
    <row r="89" spans="7:8" ht="18" x14ac:dyDescent="0.2">
      <c r="G89" s="180" t="s">
        <v>134</v>
      </c>
    </row>
    <row r="90" spans="7:8" x14ac:dyDescent="0.2">
      <c r="G90" s="181" t="s">
        <v>135</v>
      </c>
    </row>
    <row r="91" spans="7:8" ht="178.5" x14ac:dyDescent="0.2">
      <c r="G91" s="181" t="s">
        <v>136</v>
      </c>
    </row>
    <row r="92" spans="7:8" ht="127.5" x14ac:dyDescent="0.2">
      <c r="G92" s="181" t="s">
        <v>137</v>
      </c>
    </row>
    <row r="93" spans="7:8" ht="127.5" x14ac:dyDescent="0.2">
      <c r="G93" s="181" t="s">
        <v>138</v>
      </c>
    </row>
  </sheetData>
  <mergeCells count="22">
    <mergeCell ref="G53:H53"/>
    <mergeCell ref="Y11:Z11"/>
    <mergeCell ref="X44:Y44"/>
    <mergeCell ref="AA39:AD39"/>
    <mergeCell ref="AB44:AC44"/>
    <mergeCell ref="Y12:AB12"/>
    <mergeCell ref="Y13:AB13"/>
    <mergeCell ref="G32:H32"/>
    <mergeCell ref="G33:H33"/>
    <mergeCell ref="G35:H35"/>
    <mergeCell ref="G37:H37"/>
    <mergeCell ref="G9:H9"/>
    <mergeCell ref="G41:H41"/>
    <mergeCell ref="G44:H44"/>
    <mergeCell ref="G14:H14"/>
    <mergeCell ref="G18:H19"/>
    <mergeCell ref="G21:H21"/>
    <mergeCell ref="G36:H36"/>
    <mergeCell ref="G38:H38"/>
    <mergeCell ref="G39:H39"/>
    <mergeCell ref="G34:H34"/>
    <mergeCell ref="G31:H31"/>
  </mergeCells>
  <dataValidations count="10">
    <dataValidation type="whole" allowBlank="1" showInputMessage="1" showErrorMessage="1" errorTitle="توجه" error="از صفر (۰) تا صد (100)  عددی وارد نمایید" sqref="H15:H16">
      <formula1>0</formula1>
      <formula2>100</formula2>
    </dataValidation>
    <dataValidation type="list" allowBlank="1" showInputMessage="1" showErrorMessage="1" errorTitle="توجه" error="یکی از گزینه های زیر را تایپ (انتخاب) نموده و سپس کلید اینتر را بزنید_x000a__x000a_مقدماتی_x000a_پایه_x000a_ارشد_x000a_خبره_x000a_عالی_x000a_" sqref="H23">
      <formula1>$X$39:$X$43</formula1>
    </dataValidation>
    <dataValidation type="list" allowBlank="1" showInputMessage="1" showErrorMessage="1" errorTitle="توجه" error="عددی بین 4 تا 16 مطابق با آخرین حکم کارگزینی وارد نمایید" sqref="H22">
      <formula1>$X$23:$X$38</formula1>
    </dataValidation>
    <dataValidation type="list" allowBlank="1" showInputMessage="1" showErrorMessage="1" errorTitle="توجه" error="یکی از گزینه های زیر را تایپ (انتخاب) نموده و سپس کلید اینتر را بزنید_x000a__x000a_زیر دیپلم_x000a_دیپلم_x000a_فوق دیپلم_x000a_لیسانس_x000a_فوق لیسانس_x000a_دکتری_x000a_" sqref="H24">
      <formula1>$Y$5:$Y$10</formula1>
    </dataValidation>
    <dataValidation type="list" allowBlank="1" showInputMessage="1" showErrorMessage="1" errorTitle="توجه" error="از صفر (0) تا یازده (11) عددی وارد نمایید" sqref="H27">
      <formula1>$U$1:$U$12</formula1>
    </dataValidation>
    <dataValidation type="list" allowBlank="1" showInputMessage="1" showErrorMessage="1" errorTitle="توجه" error="از صفر (0) تا سی (30) عددی وارد نمایید" sqref="H26">
      <formula1>$U$1:$U$31</formula1>
    </dataValidation>
    <dataValidation type="list" allowBlank="1" showInputMessage="1" showErrorMessage="1" errorTitle="توجه" error="یکی از گزینه های زیر را تایپ (انتخاب) نمایید_x000a__x000a_ابتدایی_x000a_متوسطه_x000a_" sqref="H25">
      <formula1>$Q$2:$Q$3</formula1>
    </dataValidation>
    <dataValidation type="whole" allowBlank="1" showInputMessage="1" showErrorMessage="1" errorTitle="توجه" error="از صفر (۰) تا هزار (1000)  عددی وارد نمایید" sqref="H28">
      <formula1>0</formula1>
      <formula2>1000</formula2>
    </dataValidation>
    <dataValidation type="whole" allowBlank="1" showInputMessage="1" showErrorMessage="1" errorTitle="اخطار" error="عددی از یک تا پنجاه وارد نمایید" sqref="H42">
      <formula1>0</formula1>
      <formula2>50</formula2>
    </dataValidation>
    <dataValidation type="list" allowBlank="1" showInputMessage="1" showErrorMessage="1" errorTitle="توجه" error="یکی از گزینه های زیر را وارد نمایید_x000a__x000a_خیر_x000a_بلی_x000a__x000a_" sqref="H45">
      <formula1>$S$2:$S$3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AD53"/>
  <sheetViews>
    <sheetView rightToLeft="1" topLeftCell="I1" zoomScaleNormal="100" zoomScaleSheetLayoutView="100" workbookViewId="0">
      <selection activeCell="J3" sqref="J3"/>
    </sheetView>
  </sheetViews>
  <sheetFormatPr defaultColWidth="9.125" defaultRowHeight="18" x14ac:dyDescent="0.2"/>
  <cols>
    <col min="1" max="1" width="3.375" style="73" customWidth="1"/>
    <col min="2" max="2" width="11.625" style="73" customWidth="1"/>
    <col min="3" max="3" width="19.75" style="73" customWidth="1"/>
    <col min="4" max="4" width="15.75" style="73" customWidth="1"/>
    <col min="5" max="5" width="3" style="73" customWidth="1"/>
    <col min="6" max="6" width="30.75" style="73" customWidth="1"/>
    <col min="7" max="7" width="15.75" style="73" customWidth="1"/>
    <col min="8" max="8" width="4.375" style="73" customWidth="1"/>
    <col min="9" max="9" width="9.125" style="73"/>
    <col min="10" max="10" width="29.125" style="73" customWidth="1"/>
    <col min="11" max="11" width="15.125" style="73" customWidth="1"/>
    <col min="12" max="12" width="9.125" style="73"/>
    <col min="13" max="13" width="11.75" style="73" customWidth="1"/>
    <col min="14" max="15" width="9.125" style="73"/>
    <col min="16" max="16" width="14.75" style="73" bestFit="1" customWidth="1"/>
    <col min="17" max="18" width="9.125" style="73"/>
    <col min="19" max="23" width="9.125" style="74"/>
    <col min="24" max="26" width="9.125" style="73"/>
    <col min="27" max="27" width="16.125" style="73" customWidth="1"/>
    <col min="28" max="28" width="16.375" style="73" customWidth="1"/>
    <col min="29" max="16384" width="9.125" style="73"/>
  </cols>
  <sheetData>
    <row r="1" spans="1:30" ht="27.75" x14ac:dyDescent="0.75">
      <c r="A1" s="71"/>
      <c r="B1" s="238" t="s">
        <v>75</v>
      </c>
      <c r="C1" s="238"/>
      <c r="D1" s="238"/>
      <c r="E1" s="238"/>
      <c r="F1" s="238"/>
      <c r="G1" s="238"/>
      <c r="H1" s="71"/>
      <c r="I1" s="72"/>
      <c r="Y1" s="73" t="s">
        <v>76</v>
      </c>
      <c r="Z1" s="73">
        <f>IF(Y1='1111'!K20,0,0)</f>
        <v>0</v>
      </c>
      <c r="AA1" s="75" t="s">
        <v>26</v>
      </c>
      <c r="AB1" s="73">
        <v>18</v>
      </c>
      <c r="AC1" s="73">
        <f>IF(AA1='1111'!K18,AB1,0)</f>
        <v>0</v>
      </c>
    </row>
    <row r="2" spans="1:30" ht="24" x14ac:dyDescent="0.2">
      <c r="A2" s="71"/>
      <c r="B2" s="239" t="s">
        <v>77</v>
      </c>
      <c r="C2" s="239"/>
      <c r="D2" s="239"/>
      <c r="E2" s="239"/>
      <c r="F2" s="239"/>
      <c r="G2" s="239"/>
      <c r="H2" s="71"/>
      <c r="I2" s="72"/>
      <c r="J2" s="183">
        <v>1</v>
      </c>
      <c r="K2" s="182" t="e">
        <f>SUM(#REF!)</f>
        <v>#REF!</v>
      </c>
      <c r="S2" s="73" t="s">
        <v>78</v>
      </c>
      <c r="T2" s="73" t="s">
        <v>79</v>
      </c>
      <c r="U2" s="73" t="s">
        <v>70</v>
      </c>
      <c r="V2" s="73" t="s">
        <v>80</v>
      </c>
      <c r="W2" s="73" t="s">
        <v>8</v>
      </c>
      <c r="Y2" s="73" t="s">
        <v>81</v>
      </c>
      <c r="Z2" s="73">
        <f>IF(Y2='1111'!K20,52.5,0)</f>
        <v>0</v>
      </c>
      <c r="AA2" s="75" t="s">
        <v>23</v>
      </c>
      <c r="AB2" s="73">
        <v>25</v>
      </c>
      <c r="AC2" s="73">
        <f>IF(AA2='1111'!K18,AB2,0)</f>
        <v>0</v>
      </c>
    </row>
    <row r="3" spans="1:30" ht="24.75" thickBot="1" x14ac:dyDescent="0.25">
      <c r="A3" s="71"/>
      <c r="B3" s="240" t="s">
        <v>82</v>
      </c>
      <c r="C3" s="240"/>
      <c r="D3" s="240"/>
      <c r="E3" s="240"/>
      <c r="F3" s="240"/>
      <c r="G3" s="240"/>
      <c r="H3" s="71"/>
      <c r="I3" s="72"/>
      <c r="J3" s="183">
        <v>2</v>
      </c>
      <c r="K3" s="182" t="e">
        <f>SUM(#REF!)</f>
        <v>#REF!</v>
      </c>
      <c r="S3" s="76">
        <v>0</v>
      </c>
      <c r="T3" s="76">
        <v>0</v>
      </c>
      <c r="U3" s="76">
        <v>0</v>
      </c>
      <c r="V3" s="76">
        <v>0</v>
      </c>
      <c r="W3" s="73" t="s">
        <v>9</v>
      </c>
      <c r="Y3" s="73" t="s">
        <v>83</v>
      </c>
      <c r="Z3" s="73">
        <f>IF(Y3='1111'!K20,105,0)</f>
        <v>0</v>
      </c>
      <c r="AA3" s="75" t="s">
        <v>24</v>
      </c>
      <c r="AB3" s="73">
        <v>32</v>
      </c>
      <c r="AC3" s="73">
        <f>IF(AA3='1111'!K18,AB3,0)</f>
        <v>0</v>
      </c>
    </row>
    <row r="4" spans="1:30" ht="24" customHeight="1" thickBot="1" x14ac:dyDescent="0.25">
      <c r="A4" s="71"/>
      <c r="B4" s="241" t="s">
        <v>10</v>
      </c>
      <c r="C4" s="242"/>
      <c r="D4" s="77" t="s">
        <v>0</v>
      </c>
      <c r="E4" s="103"/>
      <c r="F4" s="104" t="s">
        <v>84</v>
      </c>
      <c r="G4" s="78">
        <v>2120</v>
      </c>
      <c r="H4" s="71"/>
      <c r="S4" s="76">
        <v>5</v>
      </c>
      <c r="T4" s="76">
        <v>5</v>
      </c>
      <c r="U4" s="76">
        <v>1</v>
      </c>
      <c r="V4" s="76">
        <v>1</v>
      </c>
      <c r="Y4" s="73" t="s">
        <v>5</v>
      </c>
      <c r="Z4" s="73">
        <f>SUM(Z1:Z3)</f>
        <v>0</v>
      </c>
      <c r="AA4" s="75" t="s">
        <v>25</v>
      </c>
      <c r="AB4" s="73">
        <v>39</v>
      </c>
      <c r="AC4" s="73">
        <f>IF(AA4='1111'!K18,AB4,0)</f>
        <v>39</v>
      </c>
    </row>
    <row r="5" spans="1:30" ht="24" customHeight="1" thickBot="1" x14ac:dyDescent="0.25">
      <c r="A5" s="71"/>
      <c r="B5" s="243" t="s">
        <v>18</v>
      </c>
      <c r="C5" s="105" t="s">
        <v>2</v>
      </c>
      <c r="D5" s="148">
        <v>4000</v>
      </c>
      <c r="E5" s="103"/>
      <c r="F5" s="106" t="s">
        <v>85</v>
      </c>
      <c r="G5" s="149" t="s">
        <v>9</v>
      </c>
      <c r="H5" s="71"/>
      <c r="S5" s="76">
        <v>6</v>
      </c>
      <c r="T5" s="76">
        <v>6</v>
      </c>
      <c r="U5" s="76">
        <v>2</v>
      </c>
      <c r="V5" s="76">
        <v>2</v>
      </c>
      <c r="AA5" s="75" t="s">
        <v>86</v>
      </c>
      <c r="AB5" s="73">
        <v>46</v>
      </c>
      <c r="AC5" s="73">
        <f>IF(AA5='1111'!K18,AB5,0)</f>
        <v>0</v>
      </c>
    </row>
    <row r="6" spans="1:30" ht="24" customHeight="1" thickBot="1" x14ac:dyDescent="0.25">
      <c r="A6" s="71"/>
      <c r="B6" s="244"/>
      <c r="C6" s="109" t="s">
        <v>3</v>
      </c>
      <c r="D6" s="150">
        <v>0</v>
      </c>
      <c r="E6" s="103"/>
      <c r="F6" s="79"/>
      <c r="G6" s="79"/>
      <c r="H6" s="71"/>
      <c r="J6" s="173" t="s">
        <v>104</v>
      </c>
      <c r="K6" s="175" t="s">
        <v>9</v>
      </c>
      <c r="P6" s="92" t="s">
        <v>87</v>
      </c>
      <c r="Q6" s="92" t="e">
        <f>#REF!*75%</f>
        <v>#REF!</v>
      </c>
      <c r="R6" s="92" t="e">
        <f>IF(Q8&gt;Q6,Q6,Q8)</f>
        <v>#REF!</v>
      </c>
      <c r="S6" s="76">
        <v>7</v>
      </c>
      <c r="T6" s="76">
        <v>7</v>
      </c>
      <c r="U6" s="76">
        <v>3</v>
      </c>
      <c r="V6" s="76">
        <v>3</v>
      </c>
      <c r="AA6" s="75" t="s">
        <v>88</v>
      </c>
      <c r="AB6" s="73">
        <v>53</v>
      </c>
      <c r="AC6" s="73">
        <f>IF(AA6='1111'!K18,AB6,0)</f>
        <v>0</v>
      </c>
    </row>
    <row r="7" spans="1:30" ht="24" customHeight="1" thickBot="1" x14ac:dyDescent="0.25">
      <c r="A7" s="71"/>
      <c r="B7" s="244"/>
      <c r="C7" s="109" t="s">
        <v>4</v>
      </c>
      <c r="D7" s="150">
        <v>3188</v>
      </c>
      <c r="E7" s="103"/>
      <c r="F7" s="80" t="s">
        <v>89</v>
      </c>
      <c r="G7" s="81" t="s">
        <v>1</v>
      </c>
      <c r="H7" s="71"/>
      <c r="P7" s="92" t="s">
        <v>90</v>
      </c>
      <c r="Q7" s="92" t="e">
        <f>(#REF!+#REF!)*75%</f>
        <v>#REF!</v>
      </c>
      <c r="R7" s="92" t="e">
        <f>IF(Q8&gt;Q7,Q7,Q8)</f>
        <v>#REF!</v>
      </c>
      <c r="S7" s="76">
        <v>8</v>
      </c>
      <c r="T7" s="76">
        <v>8</v>
      </c>
      <c r="U7" s="76">
        <v>4</v>
      </c>
      <c r="V7" s="76">
        <v>4</v>
      </c>
      <c r="Y7" s="73" t="s">
        <v>109</v>
      </c>
      <c r="AB7" s="100" t="s">
        <v>47</v>
      </c>
      <c r="AC7" s="100">
        <f>IF('1111'!K17="بلی",SUM(AC1:AC6),0)</f>
        <v>39</v>
      </c>
      <c r="AD7" s="100">
        <f>AC7/12</f>
        <v>3.25</v>
      </c>
    </row>
    <row r="8" spans="1:30" ht="24" customHeight="1" thickBot="1" x14ac:dyDescent="0.25">
      <c r="A8" s="71"/>
      <c r="B8" s="245"/>
      <c r="C8" s="107" t="s">
        <v>5</v>
      </c>
      <c r="D8" s="82">
        <f>SUM(D5:D7)</f>
        <v>7188</v>
      </c>
      <c r="E8" s="103"/>
      <c r="F8" s="104" t="s">
        <v>6</v>
      </c>
      <c r="G8" s="151">
        <v>0</v>
      </c>
      <c r="H8" s="71"/>
      <c r="P8" s="92" t="s">
        <v>91</v>
      </c>
      <c r="Q8" s="164" t="e">
        <f>#REF!+'1111'!K11</f>
        <v>#REF!</v>
      </c>
      <c r="R8" s="92"/>
      <c r="S8" s="76">
        <v>9</v>
      </c>
      <c r="T8" s="76">
        <v>10</v>
      </c>
      <c r="U8" s="76">
        <v>5</v>
      </c>
      <c r="V8" s="76">
        <v>5</v>
      </c>
      <c r="Y8" s="73" t="s">
        <v>110</v>
      </c>
      <c r="AB8" s="100" t="s">
        <v>92</v>
      </c>
      <c r="AC8" s="100">
        <f>IF(('1111'!K19/2)&lt;500,'1111'!K19/2,500)</f>
        <v>0</v>
      </c>
      <c r="AD8" s="100">
        <f>AC8</f>
        <v>0</v>
      </c>
    </row>
    <row r="9" spans="1:30" ht="24" customHeight="1" thickBot="1" x14ac:dyDescent="0.25">
      <c r="A9" s="71"/>
      <c r="B9" s="236" t="s">
        <v>11</v>
      </c>
      <c r="C9" s="237"/>
      <c r="D9" s="152">
        <v>1500</v>
      </c>
      <c r="E9" s="103"/>
      <c r="F9" s="106" t="s">
        <v>7</v>
      </c>
      <c r="G9" s="153">
        <v>0</v>
      </c>
      <c r="H9" s="71"/>
      <c r="P9" s="92" t="s">
        <v>93</v>
      </c>
      <c r="Q9" s="163" t="e">
        <f>IF('1111'!K6="خیر",R6,R7)</f>
        <v>#REF!</v>
      </c>
      <c r="R9" s="92"/>
      <c r="S9" s="76">
        <v>10</v>
      </c>
      <c r="U9" s="76">
        <v>6</v>
      </c>
      <c r="V9" s="76">
        <v>6</v>
      </c>
      <c r="Y9" s="73" t="s">
        <v>111</v>
      </c>
      <c r="AB9" s="100" t="s">
        <v>112</v>
      </c>
      <c r="AC9" s="100">
        <f>Z4</f>
        <v>0</v>
      </c>
      <c r="AD9" s="100">
        <f>AC9/12</f>
        <v>0</v>
      </c>
    </row>
    <row r="10" spans="1:30" ht="24" customHeight="1" thickBot="1" x14ac:dyDescent="0.25">
      <c r="A10" s="71"/>
      <c r="B10" s="246" t="s">
        <v>12</v>
      </c>
      <c r="C10" s="247"/>
      <c r="D10" s="150">
        <v>0</v>
      </c>
      <c r="E10" s="103"/>
      <c r="F10" s="71"/>
      <c r="G10" s="71"/>
      <c r="H10" s="71"/>
      <c r="J10" s="71"/>
      <c r="K10" s="71"/>
      <c r="S10" s="76">
        <v>11</v>
      </c>
      <c r="U10" s="76">
        <v>7</v>
      </c>
      <c r="V10" s="76">
        <v>7</v>
      </c>
      <c r="AB10" s="100" t="s">
        <v>94</v>
      </c>
      <c r="AC10" s="100">
        <f>SUM(AC7:AC9)*'1111'!K21%</f>
        <v>19.5</v>
      </c>
      <c r="AD10" s="100">
        <f>SUM(AD7:AD9)*'1111'!K21%</f>
        <v>1.625</v>
      </c>
    </row>
    <row r="11" spans="1:30" ht="24" customHeight="1" x14ac:dyDescent="0.2">
      <c r="A11" s="71"/>
      <c r="B11" s="246" t="s">
        <v>13</v>
      </c>
      <c r="C11" s="247"/>
      <c r="D11" s="150">
        <v>0</v>
      </c>
      <c r="E11" s="103"/>
      <c r="F11" s="80" t="s">
        <v>89</v>
      </c>
      <c r="G11" s="81" t="s">
        <v>95</v>
      </c>
      <c r="H11" s="71"/>
      <c r="J11" s="90" t="s">
        <v>100</v>
      </c>
      <c r="K11" s="165" t="e">
        <f>AC11</f>
        <v>#REF!</v>
      </c>
      <c r="S11" s="76">
        <v>12</v>
      </c>
      <c r="U11" s="76">
        <v>8</v>
      </c>
      <c r="V11" s="76">
        <v>8</v>
      </c>
      <c r="AB11" s="100" t="s">
        <v>116</v>
      </c>
      <c r="AC11" s="101" t="e">
        <f>IF('محاسبه فوق العاده ویژه'!#REF!="قراردادی",SUM(AC7:AC10)*80%,SUM(AC7:AC10))</f>
        <v>#REF!</v>
      </c>
      <c r="AD11" s="101">
        <f>SUM(AD7:AD10)</f>
        <v>4.875</v>
      </c>
    </row>
    <row r="12" spans="1:30" ht="24" customHeight="1" thickBot="1" x14ac:dyDescent="0.25">
      <c r="A12" s="71"/>
      <c r="B12" s="246" t="s">
        <v>14</v>
      </c>
      <c r="C12" s="247"/>
      <c r="D12" s="150">
        <v>0</v>
      </c>
      <c r="E12" s="103"/>
      <c r="F12" s="108" t="s">
        <v>19</v>
      </c>
      <c r="G12" s="154">
        <v>21</v>
      </c>
      <c r="H12" s="71"/>
      <c r="J12" s="91" t="s">
        <v>101</v>
      </c>
      <c r="K12" s="99" t="e">
        <f>IF(Q9&gt;#REF!,Q9,#REF!)</f>
        <v>#REF!</v>
      </c>
      <c r="S12" s="76">
        <v>13</v>
      </c>
      <c r="U12" s="76">
        <v>9</v>
      </c>
      <c r="V12" s="76">
        <v>9</v>
      </c>
    </row>
    <row r="13" spans="1:30" ht="24" customHeight="1" x14ac:dyDescent="0.2">
      <c r="A13" s="71"/>
      <c r="B13" s="246" t="s">
        <v>15</v>
      </c>
      <c r="C13" s="247"/>
      <c r="D13" s="150">
        <v>800</v>
      </c>
      <c r="E13" s="103"/>
      <c r="F13" s="108" t="s">
        <v>20</v>
      </c>
      <c r="G13" s="155">
        <v>0</v>
      </c>
      <c r="H13" s="71"/>
      <c r="S13" s="76">
        <v>15</v>
      </c>
      <c r="U13" s="76">
        <v>10</v>
      </c>
      <c r="V13" s="76">
        <v>10</v>
      </c>
    </row>
    <row r="14" spans="1:30" ht="24" customHeight="1" x14ac:dyDescent="0.45">
      <c r="A14" s="71"/>
      <c r="B14" s="246" t="s">
        <v>16</v>
      </c>
      <c r="C14" s="247"/>
      <c r="D14" s="150">
        <v>0</v>
      </c>
      <c r="E14" s="103"/>
      <c r="F14" s="108" t="s">
        <v>21</v>
      </c>
      <c r="G14" s="155">
        <v>0</v>
      </c>
      <c r="H14" s="71"/>
      <c r="J14" s="248" t="s">
        <v>120</v>
      </c>
      <c r="K14" s="248"/>
      <c r="U14" s="76">
        <v>11</v>
      </c>
      <c r="V14" s="76">
        <v>11</v>
      </c>
    </row>
    <row r="15" spans="1:30" ht="24" customHeight="1" thickBot="1" x14ac:dyDescent="0.25">
      <c r="A15" s="71"/>
      <c r="B15" s="256" t="s">
        <v>17</v>
      </c>
      <c r="C15" s="257"/>
      <c r="D15" s="156">
        <v>0</v>
      </c>
      <c r="E15" s="103"/>
      <c r="F15" s="106" t="s">
        <v>96</v>
      </c>
      <c r="G15" s="149">
        <v>0</v>
      </c>
      <c r="H15" s="71"/>
      <c r="J15" s="173" t="s">
        <v>63</v>
      </c>
      <c r="K15" s="175" t="s">
        <v>9</v>
      </c>
      <c r="U15" s="76">
        <v>12</v>
      </c>
      <c r="V15" s="76">
        <v>12</v>
      </c>
    </row>
    <row r="16" spans="1:30" ht="20.25" thickBot="1" x14ac:dyDescent="0.5">
      <c r="A16" s="71"/>
      <c r="B16" s="83"/>
      <c r="C16" s="83"/>
      <c r="D16" s="84"/>
      <c r="E16" s="71"/>
      <c r="F16" s="71"/>
      <c r="G16" s="71"/>
      <c r="H16" s="71"/>
      <c r="J16" s="248" t="s">
        <v>121</v>
      </c>
      <c r="K16" s="248"/>
      <c r="U16" s="76">
        <v>13</v>
      </c>
      <c r="V16" s="76">
        <v>13</v>
      </c>
    </row>
    <row r="17" spans="1:22" ht="19.5" x14ac:dyDescent="0.2">
      <c r="A17" s="71"/>
      <c r="B17" s="254"/>
      <c r="C17" s="255"/>
      <c r="D17" s="255"/>
      <c r="E17" s="255"/>
      <c r="F17" s="255"/>
      <c r="H17" s="71"/>
      <c r="J17" s="173" t="s">
        <v>98</v>
      </c>
      <c r="K17" s="175" t="s">
        <v>8</v>
      </c>
      <c r="U17" s="76">
        <v>14</v>
      </c>
      <c r="V17" s="76">
        <v>14</v>
      </c>
    </row>
    <row r="18" spans="1:22" ht="20.25" thickBot="1" x14ac:dyDescent="0.25">
      <c r="A18" s="71"/>
      <c r="B18" s="256" t="s">
        <v>97</v>
      </c>
      <c r="C18" s="257"/>
      <c r="D18" s="257"/>
      <c r="E18" s="257"/>
      <c r="F18" s="257"/>
      <c r="G18" s="156" t="s">
        <v>9</v>
      </c>
      <c r="H18" s="71"/>
      <c r="J18" s="173" t="s">
        <v>22</v>
      </c>
      <c r="K18" s="175" t="s">
        <v>25</v>
      </c>
      <c r="U18" s="76">
        <v>15</v>
      </c>
      <c r="V18" s="76">
        <v>15</v>
      </c>
    </row>
    <row r="19" spans="1:22" ht="25.5" customHeight="1" x14ac:dyDescent="0.2">
      <c r="A19" s="71"/>
      <c r="B19" s="71"/>
      <c r="C19" s="71"/>
      <c r="D19" s="71"/>
      <c r="E19" s="85"/>
      <c r="F19" s="85"/>
      <c r="G19" s="85"/>
      <c r="H19" s="85"/>
      <c r="J19" s="173" t="s">
        <v>117</v>
      </c>
      <c r="K19" s="175">
        <v>0</v>
      </c>
      <c r="U19" s="76">
        <v>16</v>
      </c>
      <c r="V19" s="76">
        <v>16</v>
      </c>
    </row>
    <row r="20" spans="1:22" ht="19.5" x14ac:dyDescent="0.2">
      <c r="A20" s="71"/>
      <c r="E20" s="85"/>
      <c r="F20" s="85"/>
      <c r="G20" s="85"/>
      <c r="H20" s="85"/>
      <c r="J20" s="173" t="s">
        <v>99</v>
      </c>
      <c r="K20" s="176" t="s">
        <v>76</v>
      </c>
      <c r="U20" s="76">
        <v>17</v>
      </c>
      <c r="V20" s="76">
        <v>17</v>
      </c>
    </row>
    <row r="21" spans="1:22" ht="19.5" x14ac:dyDescent="0.2">
      <c r="A21" s="71"/>
      <c r="E21" s="85"/>
      <c r="F21" s="85"/>
      <c r="G21" s="85"/>
      <c r="H21" s="85"/>
      <c r="J21" s="173" t="s">
        <v>108</v>
      </c>
      <c r="K21" s="176">
        <v>50</v>
      </c>
      <c r="U21" s="76">
        <v>18</v>
      </c>
      <c r="V21" s="76">
        <v>18</v>
      </c>
    </row>
    <row r="22" spans="1:22" ht="19.5" x14ac:dyDescent="0.45">
      <c r="A22" s="71"/>
      <c r="E22" s="86"/>
      <c r="F22" s="71"/>
      <c r="G22" s="71"/>
      <c r="H22" s="85"/>
      <c r="J22" s="248" t="s">
        <v>141</v>
      </c>
      <c r="K22" s="248"/>
      <c r="U22" s="76">
        <v>19</v>
      </c>
      <c r="V22" s="76">
        <v>19</v>
      </c>
    </row>
    <row r="23" spans="1:22" ht="21" x14ac:dyDescent="0.55000000000000004">
      <c r="A23" s="71"/>
      <c r="E23" s="87"/>
      <c r="F23" s="258"/>
      <c r="G23" s="258"/>
      <c r="H23" s="85"/>
      <c r="J23" s="173" t="s">
        <v>113</v>
      </c>
      <c r="K23" s="175" t="s">
        <v>9</v>
      </c>
      <c r="U23" s="76">
        <v>20</v>
      </c>
      <c r="V23" s="76">
        <v>20</v>
      </c>
    </row>
    <row r="24" spans="1:22" x14ac:dyDescent="0.2">
      <c r="A24" s="71"/>
      <c r="E24" s="88"/>
      <c r="F24" s="251"/>
      <c r="G24" s="251"/>
      <c r="H24" s="85"/>
      <c r="U24" s="76">
        <v>21</v>
      </c>
      <c r="V24" s="76">
        <v>21</v>
      </c>
    </row>
    <row r="25" spans="1:22" ht="19.5" x14ac:dyDescent="0.45">
      <c r="A25" s="71"/>
      <c r="E25" s="71"/>
      <c r="F25" s="252"/>
      <c r="G25" s="252"/>
      <c r="H25" s="71"/>
      <c r="J25" s="248" t="s">
        <v>139</v>
      </c>
      <c r="K25" s="248"/>
      <c r="U25" s="76">
        <v>22</v>
      </c>
      <c r="V25" s="76">
        <v>22</v>
      </c>
    </row>
    <row r="26" spans="1:22" x14ac:dyDescent="0.2">
      <c r="A26" s="71"/>
      <c r="E26" s="89"/>
      <c r="F26" s="253"/>
      <c r="G26" s="253"/>
      <c r="H26" s="71"/>
      <c r="J26" s="178" t="s">
        <v>114</v>
      </c>
      <c r="K26" s="179">
        <v>3048</v>
      </c>
      <c r="U26" s="76">
        <v>23</v>
      </c>
      <c r="V26" s="76">
        <v>23</v>
      </c>
    </row>
    <row r="27" spans="1:22" x14ac:dyDescent="0.2">
      <c r="A27" s="71"/>
      <c r="E27" s="71"/>
      <c r="F27" s="249"/>
      <c r="G27" s="250"/>
      <c r="H27" s="71"/>
      <c r="J27" s="178" t="s">
        <v>115</v>
      </c>
      <c r="K27" s="179">
        <f>IF(K26=2300,3048,3048)</f>
        <v>3048</v>
      </c>
      <c r="U27" s="76">
        <v>24</v>
      </c>
      <c r="V27" s="76">
        <v>24</v>
      </c>
    </row>
    <row r="28" spans="1:22" x14ac:dyDescent="0.2">
      <c r="A28" s="71"/>
      <c r="E28" s="71"/>
      <c r="F28" s="249"/>
      <c r="G28" s="250"/>
      <c r="H28" s="71"/>
      <c r="U28" s="76">
        <v>25</v>
      </c>
      <c r="V28" s="76">
        <v>25</v>
      </c>
    </row>
    <row r="29" spans="1:22" x14ac:dyDescent="0.2">
      <c r="A29" s="71"/>
      <c r="B29" s="71"/>
      <c r="C29" s="71"/>
      <c r="D29" s="71"/>
      <c r="E29" s="71"/>
      <c r="F29" s="71"/>
      <c r="G29" s="71"/>
      <c r="H29" s="71"/>
      <c r="U29" s="76">
        <v>26</v>
      </c>
      <c r="V29" s="76">
        <v>26</v>
      </c>
    </row>
    <row r="30" spans="1:22" x14ac:dyDescent="0.2">
      <c r="U30" s="76">
        <v>27</v>
      </c>
      <c r="V30" s="76">
        <v>27</v>
      </c>
    </row>
    <row r="31" spans="1:22" x14ac:dyDescent="0.2">
      <c r="U31" s="76">
        <v>28</v>
      </c>
      <c r="V31" s="76">
        <v>28</v>
      </c>
    </row>
    <row r="32" spans="1:22" x14ac:dyDescent="0.2">
      <c r="U32" s="76">
        <v>29</v>
      </c>
      <c r="V32" s="76">
        <v>29</v>
      </c>
    </row>
    <row r="33" spans="10:22" x14ac:dyDescent="0.2">
      <c r="U33" s="76">
        <v>30</v>
      </c>
      <c r="V33" s="76">
        <v>30</v>
      </c>
    </row>
    <row r="34" spans="10:22" x14ac:dyDescent="0.2">
      <c r="V34" s="76">
        <v>31</v>
      </c>
    </row>
    <row r="35" spans="10:22" x14ac:dyDescent="0.2">
      <c r="V35" s="76">
        <v>32</v>
      </c>
    </row>
    <row r="36" spans="10:22" x14ac:dyDescent="0.2">
      <c r="V36" s="76">
        <v>33</v>
      </c>
    </row>
    <row r="37" spans="10:22" ht="18.75" thickBot="1" x14ac:dyDescent="0.25">
      <c r="V37" s="76">
        <v>34</v>
      </c>
    </row>
    <row r="38" spans="10:22" ht="20.25" thickBot="1" x14ac:dyDescent="0.25">
      <c r="J38" s="102"/>
      <c r="K38" s="102"/>
      <c r="V38" s="76">
        <v>35</v>
      </c>
    </row>
    <row r="39" spans="10:22" ht="21.75" thickBot="1" x14ac:dyDescent="0.25">
      <c r="J39" s="96"/>
      <c r="K39" s="98"/>
      <c r="V39" s="76">
        <v>36</v>
      </c>
    </row>
    <row r="40" spans="10:22" ht="20.25" x14ac:dyDescent="0.2">
      <c r="J40" s="95"/>
      <c r="K40" s="98"/>
      <c r="V40" s="76">
        <v>37</v>
      </c>
    </row>
    <row r="41" spans="10:22" ht="20.25" x14ac:dyDescent="0.2">
      <c r="J41" s="93"/>
      <c r="K41" s="98"/>
      <c r="V41" s="76">
        <v>38</v>
      </c>
    </row>
    <row r="42" spans="10:22" ht="20.25" x14ac:dyDescent="0.2">
      <c r="J42" s="93"/>
      <c r="K42" s="98"/>
      <c r="V42" s="76">
        <v>39</v>
      </c>
    </row>
    <row r="43" spans="10:22" ht="20.25" x14ac:dyDescent="0.2">
      <c r="J43" s="93"/>
      <c r="K43" s="98"/>
      <c r="V43" s="76">
        <v>40</v>
      </c>
    </row>
    <row r="44" spans="10:22" ht="20.25" x14ac:dyDescent="0.2">
      <c r="J44" s="93"/>
      <c r="K44" s="98"/>
      <c r="V44" s="76">
        <v>41</v>
      </c>
    </row>
    <row r="45" spans="10:22" ht="21" thickBot="1" x14ac:dyDescent="0.25">
      <c r="J45" s="94"/>
      <c r="K45" s="98"/>
      <c r="V45" s="76">
        <v>42</v>
      </c>
    </row>
    <row r="46" spans="10:22" x14ac:dyDescent="0.2">
      <c r="J46" s="49"/>
      <c r="K46" s="49"/>
      <c r="V46" s="76">
        <v>43</v>
      </c>
    </row>
    <row r="47" spans="10:22" ht="24" x14ac:dyDescent="0.2">
      <c r="J47" s="70" t="s">
        <v>118</v>
      </c>
      <c r="K47" s="157">
        <v>17974500</v>
      </c>
      <c r="V47" s="76">
        <v>44</v>
      </c>
    </row>
    <row r="48" spans="10:22" ht="24" x14ac:dyDescent="0.2">
      <c r="J48" s="70" t="s">
        <v>119</v>
      </c>
      <c r="K48" s="157">
        <v>22468000</v>
      </c>
      <c r="M48" s="166"/>
      <c r="V48" s="76">
        <v>45</v>
      </c>
    </row>
    <row r="49" spans="10:22" ht="24" x14ac:dyDescent="0.2">
      <c r="J49" s="70" t="s">
        <v>102</v>
      </c>
      <c r="K49" s="158" t="e">
        <f>ROUND('1111'!K27+('1111'!K27*K50%),0)</f>
        <v>#REF!</v>
      </c>
      <c r="M49" s="166"/>
      <c r="V49" s="76">
        <v>46</v>
      </c>
    </row>
    <row r="50" spans="10:22" ht="24" x14ac:dyDescent="0.2">
      <c r="J50" s="70" t="s">
        <v>74</v>
      </c>
      <c r="K50" s="159" t="e">
        <f>IF(K52&gt;Sheet2!H10,Sheet2!H10,K52)</f>
        <v>#REF!</v>
      </c>
      <c r="V50" s="76">
        <v>47</v>
      </c>
    </row>
    <row r="51" spans="10:22" ht="24" x14ac:dyDescent="0.2">
      <c r="J51" s="70" t="s">
        <v>105</v>
      </c>
      <c r="K51" s="160" t="e">
        <f>#REF!/1000000</f>
        <v>#REF!</v>
      </c>
      <c r="V51" s="76">
        <v>48</v>
      </c>
    </row>
    <row r="52" spans="10:22" ht="24" x14ac:dyDescent="0.2">
      <c r="J52" s="70" t="s">
        <v>106</v>
      </c>
      <c r="K52" s="160" t="e">
        <f>IF(K51&lt;=51,((-Sheet2!H10)/(27))*(K51-51),0)</f>
        <v>#REF!</v>
      </c>
      <c r="V52" s="76">
        <v>49</v>
      </c>
    </row>
    <row r="53" spans="10:22" x14ac:dyDescent="0.2">
      <c r="V53" s="76">
        <v>50</v>
      </c>
    </row>
  </sheetData>
  <mergeCells count="24">
    <mergeCell ref="J14:K14"/>
    <mergeCell ref="J16:K16"/>
    <mergeCell ref="J22:K22"/>
    <mergeCell ref="J25:K25"/>
    <mergeCell ref="F28:G28"/>
    <mergeCell ref="F24:G24"/>
    <mergeCell ref="F25:G25"/>
    <mergeCell ref="F26:G26"/>
    <mergeCell ref="F27:G27"/>
    <mergeCell ref="B17:F17"/>
    <mergeCell ref="B18:F18"/>
    <mergeCell ref="F23:G23"/>
    <mergeCell ref="B15:C15"/>
    <mergeCell ref="B10:C10"/>
    <mergeCell ref="B11:C11"/>
    <mergeCell ref="B12:C12"/>
    <mergeCell ref="B13:C13"/>
    <mergeCell ref="B14:C14"/>
    <mergeCell ref="B9:C9"/>
    <mergeCell ref="B1:G1"/>
    <mergeCell ref="B2:G2"/>
    <mergeCell ref="B3:G3"/>
    <mergeCell ref="B4:C4"/>
    <mergeCell ref="B5:B8"/>
  </mergeCells>
  <dataValidations count="9">
    <dataValidation type="list" allowBlank="1" showInputMessage="1" showErrorMessage="1" sqref="G5 G18 K6 K17">
      <formula1>$W$2:$W$3</formula1>
    </dataValidation>
    <dataValidation type="list" allowBlank="1" showInputMessage="1" showErrorMessage="1" sqref="G15">
      <formula1>$U$3:$U$33</formula1>
    </dataValidation>
    <dataValidation type="list" allowBlank="1" showInputMessage="1" showErrorMessage="1" sqref="G14">
      <formula1>$S$3:$S$13</formula1>
    </dataValidation>
    <dataValidation type="list" allowBlank="1" showInputMessage="1" showErrorMessage="1" sqref="G13">
      <formula1>$T$3:$T$8</formula1>
    </dataValidation>
    <dataValidation type="list" allowBlank="1" showInputMessage="1" showErrorMessage="1" sqref="G12 K21">
      <formula1>$V$3:$V$53</formula1>
    </dataValidation>
    <dataValidation type="list" allowBlank="1" showInputMessage="1" showErrorMessage="1" sqref="K18">
      <formula1>$AA$1:$AA$6</formula1>
    </dataValidation>
    <dataValidation type="list" allowBlank="1" showInputMessage="1" showErrorMessage="1" sqref="K20">
      <formula1>$Y$1:$Y$3</formula1>
    </dataValidation>
    <dataValidation allowBlank="1" showInputMessage="1" showErrorMessage="1" prompt="در صورتی که تا قبل از سال 1399 بیش از 1000 ساعت آموزش ضمن خدمت داشته اید عدد صفر را وارد نمایید در غیر این صورت میزان ساعات آموزش سال 1399 خود را وارد نمایید." sqref="J19"/>
    <dataValidation type="whole" allowBlank="1" showInputMessage="1" showErrorMessage="1" promptTitle="توجه" prompt="در صورتی که تا قبل از سال 1399 بیش از 1000 ساعت آموزش ضمن خدمت داشته اید عدد صفر را وارد نمایید در غیر این صورت میزان ساعات آموزش سال 1399 خود را وارد نمایید." sqref="K19">
      <formula1>0</formula1>
      <formula2>1000</formula2>
    </dataValidation>
  </dataValidations>
  <printOptions horizontalCentered="1"/>
  <pageMargins left="0.23622047244094491" right="0.23622047244094491" top="0.74803149606299213" bottom="0.74803149606299213" header="0.31496062992125984" footer="0.31496062992125984"/>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توجه" error="یکی از گزینه های زیر را وارد نمایید_x000a__x000a_خیر_x000a_بلی_x000a__x000a__x000a_">
          <x14:formula1>
            <xm:f>Sheet2!$S$2:$S$3</xm:f>
          </x14:formula1>
          <xm:sqref>K15 K23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محاسبه فوق العاده ویژه</vt:lpstr>
      <vt:lpstr>'1111'!Print_Area</vt:lpstr>
      <vt:lpstr>'محاسبه فوق العاده ویژه'!Print_Area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2021-08-10T20:07:41Z</dcterms:modified>
</cp:coreProperties>
</file>