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15" windowWidth="11355" windowHeight="8445"/>
  </bookViews>
  <sheets>
    <sheet name="Sheet1" sheetId="5" r:id="rId1"/>
    <sheet name="sheet 2" sheetId="1" state="hidden" r:id="rId2"/>
    <sheet name="sheet 3" sheetId="2" state="hidden" r:id="rId3"/>
    <sheet name="98" sheetId="7" state="hidden" r:id="rId4"/>
  </sheets>
  <definedNames>
    <definedName name="_xlnm.Print_Area" localSheetId="0">Sheet1!$A$1:$J$56</definedName>
  </definedNames>
  <calcPr calcId="145621"/>
</workbook>
</file>

<file path=xl/calcChain.xml><?xml version="1.0" encoding="utf-8"?>
<calcChain xmlns="http://schemas.openxmlformats.org/spreadsheetml/2006/main">
  <c r="F19" i="5" l="1"/>
  <c r="H24" i="5"/>
  <c r="H21" i="5"/>
  <c r="G18" i="5"/>
  <c r="H18" i="5" s="1"/>
  <c r="F18" i="5"/>
  <c r="G17" i="5"/>
  <c r="H17" i="5" s="1"/>
  <c r="G16" i="5"/>
  <c r="H16" i="5" s="1"/>
  <c r="F17" i="5"/>
  <c r="F16" i="5"/>
  <c r="G15" i="5"/>
  <c r="H15" i="5" s="1"/>
  <c r="F15" i="5"/>
  <c r="G14" i="5"/>
  <c r="H14" i="5" s="1"/>
  <c r="F14" i="5"/>
  <c r="F13" i="5"/>
  <c r="F12" i="5"/>
  <c r="F11" i="5"/>
  <c r="G13" i="5"/>
  <c r="H13" i="5" s="1"/>
  <c r="G12" i="5"/>
  <c r="H12" i="5" s="1"/>
  <c r="G11" i="5"/>
  <c r="H11" i="5" s="1"/>
  <c r="F10" i="5"/>
  <c r="G10" i="5"/>
  <c r="H10" i="5" s="1"/>
  <c r="F9" i="5"/>
  <c r="G9" i="5"/>
  <c r="H9" i="5" s="1"/>
  <c r="B12" i="7" l="1"/>
  <c r="B23" i="7"/>
  <c r="B22" i="7"/>
  <c r="C28" i="7"/>
  <c r="C27" i="7"/>
  <c r="C26" i="7"/>
  <c r="C25" i="7"/>
  <c r="C24" i="7"/>
  <c r="C23" i="7"/>
  <c r="C22" i="7"/>
  <c r="C21" i="7"/>
  <c r="B28" i="7"/>
  <c r="B27" i="7"/>
  <c r="B26" i="7"/>
  <c r="B25" i="7"/>
  <c r="B24" i="7"/>
  <c r="B21" i="7"/>
  <c r="H27" i="5"/>
  <c r="H22" i="5"/>
  <c r="E2" i="7"/>
  <c r="F2" i="7" s="1"/>
  <c r="G2" i="7" s="1"/>
  <c r="B30" i="7" l="1"/>
  <c r="C30" i="7"/>
  <c r="D21" i="7"/>
  <c r="D28" i="7"/>
  <c r="E28" i="7" s="1"/>
  <c r="D26" i="7"/>
  <c r="E26" i="7" s="1"/>
  <c r="D24" i="7"/>
  <c r="E24" i="7" s="1"/>
  <c r="D22" i="7"/>
  <c r="E22" i="7" s="1"/>
  <c r="D27" i="7"/>
  <c r="E27" i="7" s="1"/>
  <c r="D25" i="7"/>
  <c r="E25" i="7" s="1"/>
  <c r="D23" i="7"/>
  <c r="E23" i="7" s="1"/>
  <c r="B4" i="2"/>
  <c r="B3" i="2"/>
  <c r="B31" i="7" l="1"/>
  <c r="B32" i="7" s="1"/>
  <c r="B33" i="7" s="1"/>
  <c r="E21" i="7"/>
  <c r="F15" i="2"/>
  <c r="B34" i="7" l="1"/>
  <c r="F20" i="5" s="1"/>
  <c r="B3" i="7" l="1"/>
  <c r="D25" i="5" s="1"/>
  <c r="B4" i="7"/>
  <c r="D26" i="5" s="1"/>
  <c r="D33" i="5"/>
  <c r="H20" i="5"/>
  <c r="F28" i="5"/>
  <c r="B14" i="7"/>
  <c r="B15" i="7" s="1"/>
  <c r="B2" i="7"/>
  <c r="B29" i="7" l="1"/>
  <c r="D23" i="5"/>
  <c r="H19" i="5"/>
  <c r="D34" i="5" s="1"/>
  <c r="D35" i="5" l="1"/>
  <c r="D36" i="5" s="1"/>
  <c r="D29" i="7"/>
  <c r="P20" i="1"/>
  <c r="P21" i="1"/>
  <c r="P19" i="1"/>
  <c r="P18" i="1"/>
  <c r="B18" i="2"/>
  <c r="B51" i="1"/>
  <c r="D51" i="1"/>
  <c r="B50" i="1"/>
  <c r="D50" i="1"/>
  <c r="B42" i="1"/>
  <c r="J41" i="1" s="1"/>
  <c r="B43" i="1"/>
  <c r="J42" i="1" s="1"/>
  <c r="B44" i="1"/>
  <c r="J43" i="1" s="1"/>
  <c r="B45" i="1"/>
  <c r="J44" i="1" s="1"/>
  <c r="B46" i="1"/>
  <c r="J45" i="1" s="1"/>
  <c r="B41" i="1"/>
  <c r="J40" i="1" s="1"/>
  <c r="D42" i="1"/>
  <c r="L41" i="1" s="1"/>
  <c r="D43" i="1"/>
  <c r="L42" i="1" s="1"/>
  <c r="D44" i="1"/>
  <c r="L43" i="1" s="1"/>
  <c r="D45" i="1"/>
  <c r="L44" i="1" s="1"/>
  <c r="D46" i="1"/>
  <c r="L45" i="1" s="1"/>
  <c r="D41" i="1"/>
  <c r="L40" i="1" s="1"/>
  <c r="B26" i="1"/>
  <c r="J25" i="1" s="1"/>
  <c r="B27" i="1"/>
  <c r="J26" i="1" s="1"/>
  <c r="B28" i="1"/>
  <c r="J27" i="1" s="1"/>
  <c r="B29" i="1"/>
  <c r="J28" i="1" s="1"/>
  <c r="B30" i="1"/>
  <c r="J29" i="1" s="1"/>
  <c r="B25" i="1"/>
  <c r="J24" i="1" s="1"/>
  <c r="D26" i="1"/>
  <c r="L25" i="1" s="1"/>
  <c r="D27" i="1"/>
  <c r="L26" i="1" s="1"/>
  <c r="D28" i="1"/>
  <c r="L27" i="1" s="1"/>
  <c r="D29" i="1"/>
  <c r="L28" i="1" s="1"/>
  <c r="D30" i="1"/>
  <c r="L29" i="1" s="1"/>
  <c r="D25" i="1"/>
  <c r="L24" i="1" s="1"/>
  <c r="B10" i="1"/>
  <c r="C10" i="1" s="1"/>
  <c r="B11" i="1" s="1"/>
  <c r="B7" i="2" s="1"/>
  <c r="B47" i="5"/>
  <c r="B1" i="1" s="1"/>
  <c r="A8" i="1" s="1"/>
  <c r="P16" i="1"/>
  <c r="P15" i="1"/>
  <c r="P14" i="1"/>
  <c r="P12" i="1"/>
  <c r="P11" i="1"/>
  <c r="P10" i="1"/>
  <c r="P9" i="1"/>
  <c r="P7" i="1"/>
  <c r="P6" i="1"/>
  <c r="C51" i="1"/>
  <c r="C50" i="1"/>
  <c r="C42" i="1"/>
  <c r="K41" i="1" s="1"/>
  <c r="C43" i="1"/>
  <c r="C44" i="1"/>
  <c r="K43" i="1" s="1"/>
  <c r="C45" i="1"/>
  <c r="C46" i="1"/>
  <c r="K45" i="1" s="1"/>
  <c r="C41" i="1"/>
  <c r="C26" i="1"/>
  <c r="K25" i="1" s="1"/>
  <c r="C27" i="1"/>
  <c r="C28" i="1"/>
  <c r="K27" i="1" s="1"/>
  <c r="C29" i="1"/>
  <c r="C30" i="1"/>
  <c r="K29" i="1" s="1"/>
  <c r="C25" i="1"/>
  <c r="K24" i="1" s="1"/>
  <c r="B72" i="1"/>
  <c r="B78" i="1" s="1"/>
  <c r="K33" i="1"/>
  <c r="K34" i="1"/>
  <c r="J31" i="1"/>
  <c r="J32" i="1"/>
  <c r="J33" i="1"/>
  <c r="J34" i="1"/>
  <c r="K31" i="1"/>
  <c r="K32" i="1"/>
  <c r="E31" i="1"/>
  <c r="L31" i="1"/>
  <c r="L32" i="1"/>
  <c r="L33" i="1"/>
  <c r="L34" i="1"/>
  <c r="J35" i="1"/>
  <c r="K35" i="1"/>
  <c r="L35" i="1"/>
  <c r="B79" i="1"/>
  <c r="B73" i="1"/>
  <c r="B88" i="1" s="1"/>
  <c r="E35" i="1"/>
  <c r="F35" i="1"/>
  <c r="E34" i="1"/>
  <c r="F34" i="1" s="1"/>
  <c r="E33" i="1"/>
  <c r="F33" i="1" s="1"/>
  <c r="E32" i="1"/>
  <c r="F32" i="1" s="1"/>
  <c r="E36" i="1"/>
  <c r="F36" i="1" s="1"/>
  <c r="D86" i="1"/>
  <c r="B86" i="1" s="1"/>
  <c r="D87" i="1"/>
  <c r="B87" i="1" s="1"/>
  <c r="B80" i="1"/>
  <c r="E67" i="1"/>
  <c r="F67" i="1"/>
  <c r="E29" i="7" l="1"/>
  <c r="D30" i="7"/>
  <c r="B35" i="7" s="1"/>
  <c r="B81" i="1"/>
  <c r="B68" i="1"/>
  <c r="B74" i="1"/>
  <c r="P35" i="1"/>
  <c r="P34" i="1"/>
  <c r="P37" i="1"/>
  <c r="P41" i="1"/>
  <c r="P39" i="1"/>
  <c r="P40" i="1"/>
  <c r="P42" i="1"/>
  <c r="E26" i="1"/>
  <c r="F26" i="1" s="1"/>
  <c r="E50" i="1"/>
  <c r="F50" i="1" s="1"/>
  <c r="G50" i="1" s="1"/>
  <c r="B13" i="1"/>
  <c r="E28" i="1"/>
  <c r="F28" i="1" s="1"/>
  <c r="E46" i="1"/>
  <c r="F46" i="1" s="1"/>
  <c r="E30" i="1"/>
  <c r="F30" i="1" s="1"/>
  <c r="E42" i="1"/>
  <c r="F42" i="1" s="1"/>
  <c r="E44" i="1"/>
  <c r="F44" i="1" s="1"/>
  <c r="E51" i="1"/>
  <c r="F51" i="1" s="1"/>
  <c r="G51" i="1" s="1"/>
  <c r="K40" i="1"/>
  <c r="E41" i="1"/>
  <c r="F41" i="1" s="1"/>
  <c r="J36" i="1"/>
  <c r="J37" i="1" s="1"/>
  <c r="J48" i="1"/>
  <c r="K39" i="1" s="1"/>
  <c r="B8" i="1"/>
  <c r="B6" i="2" s="1"/>
  <c r="K26" i="1"/>
  <c r="E27" i="1"/>
  <c r="F27" i="1" s="1"/>
  <c r="K28" i="1"/>
  <c r="E29" i="1"/>
  <c r="F29" i="1" s="1"/>
  <c r="K42" i="1"/>
  <c r="E43" i="1"/>
  <c r="F43" i="1" s="1"/>
  <c r="E25" i="1"/>
  <c r="F25" i="1" s="1"/>
  <c r="J38" i="1"/>
  <c r="K23" i="1" s="1"/>
  <c r="J46" i="1"/>
  <c r="J47" i="1" s="1"/>
  <c r="K44" i="1"/>
  <c r="E45" i="1"/>
  <c r="F45" i="1" s="1"/>
  <c r="G52" i="1" l="1"/>
  <c r="J52" i="1" s="1"/>
  <c r="Q40" i="1"/>
  <c r="R40" i="1" s="1"/>
  <c r="S40" i="1" s="1"/>
  <c r="T40" i="1" s="1"/>
  <c r="U40" i="1" s="1"/>
  <c r="Q35" i="1"/>
  <c r="R35" i="1" s="1"/>
  <c r="S35" i="1" s="1"/>
  <c r="T35" i="1" s="1"/>
  <c r="U35" i="1" s="1"/>
  <c r="Q41" i="1"/>
  <c r="R41" i="1" s="1"/>
  <c r="S41" i="1" s="1"/>
  <c r="T41" i="1" s="1"/>
  <c r="U41" i="1" s="1"/>
  <c r="Q42" i="1"/>
  <c r="R42" i="1" s="1"/>
  <c r="S42" i="1" s="1"/>
  <c r="T42" i="1" s="1"/>
  <c r="U42" i="1" s="1"/>
  <c r="Q39" i="1"/>
  <c r="R39" i="1" s="1"/>
  <c r="S39" i="1" s="1"/>
  <c r="T39" i="1" s="1"/>
  <c r="U39" i="1" s="1"/>
  <c r="Q34" i="1"/>
  <c r="R34" i="1" s="1"/>
  <c r="S34" i="1" s="1"/>
  <c r="T34" i="1" s="1"/>
  <c r="U34" i="1" s="1"/>
  <c r="Q37" i="1"/>
  <c r="R37" i="1" s="1"/>
  <c r="S37" i="1" s="1"/>
  <c r="T37" i="1" s="1"/>
  <c r="U37" i="1" s="1"/>
  <c r="A20" i="1"/>
  <c r="B20" i="1"/>
  <c r="B8" i="2" s="1"/>
  <c r="F37" i="1"/>
  <c r="B9" i="2" s="1"/>
  <c r="K46" i="1"/>
  <c r="K47" i="1" s="1"/>
  <c r="K48" i="1"/>
  <c r="L39" i="1" s="1"/>
  <c r="L47" i="1" s="1"/>
  <c r="B59" i="5"/>
  <c r="B37" i="1"/>
  <c r="H59" i="5"/>
  <c r="B47" i="1"/>
  <c r="F47" i="1"/>
  <c r="B10" i="2" s="1"/>
  <c r="K36" i="1"/>
  <c r="K37" i="1" s="1"/>
  <c r="K38" i="1"/>
  <c r="L23" i="1" s="1"/>
  <c r="L37" i="1" s="1"/>
  <c r="B11" i="2" l="1"/>
  <c r="E14" i="2" s="1"/>
  <c r="D59" i="5"/>
  <c r="D37" i="1"/>
  <c r="I59" i="5"/>
  <c r="C47" i="1"/>
  <c r="C37" i="1"/>
  <c r="C59" i="5"/>
  <c r="D47" i="1"/>
  <c r="J59" i="5"/>
  <c r="H50" i="1" l="1"/>
  <c r="B12" i="2"/>
  <c r="H51" i="1"/>
  <c r="I51" i="1" l="1"/>
  <c r="B14" i="2" s="1"/>
  <c r="I50" i="1"/>
  <c r="I52" i="1" l="1"/>
  <c r="B13" i="2"/>
  <c r="C14" i="2" l="1"/>
  <c r="D14" i="2" l="1"/>
  <c r="B15" i="2" s="1"/>
  <c r="B16" i="2" s="1"/>
  <c r="B17" i="2" s="1"/>
  <c r="B11" i="7" l="1"/>
  <c r="P8" i="1"/>
  <c r="B13" i="7" l="1"/>
  <c r="H26" i="5" l="1"/>
  <c r="B16" i="7"/>
  <c r="B17" i="7" s="1"/>
  <c r="H23" i="5" s="1"/>
  <c r="H25" i="5"/>
  <c r="P36" i="1"/>
  <c r="Q36" i="1" s="1"/>
  <c r="R36" i="1" s="1"/>
  <c r="S36" i="1" s="1"/>
  <c r="T36" i="1" s="1"/>
  <c r="U36" i="1" s="1"/>
  <c r="B5" i="7" l="1"/>
  <c r="B6" i="7" s="1"/>
  <c r="H28" i="5"/>
  <c r="P38" i="1"/>
  <c r="P43" i="1" s="1"/>
  <c r="Q43" i="1" s="1"/>
  <c r="R43" i="1" s="1"/>
  <c r="S43" i="1" s="1"/>
  <c r="T43" i="1" s="1"/>
  <c r="T44" i="1" s="1"/>
  <c r="V34" i="1" s="1"/>
  <c r="B7" i="7"/>
  <c r="B8" i="7" s="1"/>
  <c r="P24" i="1"/>
  <c r="P25" i="1" s="1"/>
  <c r="P28" i="1" s="1"/>
  <c r="P29" i="1" s="1"/>
  <c r="P30" i="1" s="1"/>
  <c r="B9" i="7" l="1"/>
  <c r="B10" i="7" s="1"/>
  <c r="D31" i="5"/>
  <c r="D32" i="5" s="1"/>
  <c r="Q38" i="1"/>
  <c r="R38" i="1" s="1"/>
  <c r="S38" i="1" s="1"/>
  <c r="T38" i="1" s="1"/>
  <c r="U38" i="1" s="1"/>
  <c r="U43" i="1"/>
  <c r="V37" i="1"/>
  <c r="V36" i="1"/>
  <c r="V39" i="1"/>
  <c r="V38" i="1"/>
  <c r="V35" i="1"/>
  <c r="V41" i="1"/>
  <c r="V42" i="1"/>
  <c r="V40" i="1"/>
  <c r="P27" i="1"/>
  <c r="P26" i="1"/>
  <c r="V43" i="1" l="1"/>
  <c r="P22" i="1"/>
</calcChain>
</file>

<file path=xl/comments1.xml><?xml version="1.0" encoding="utf-8"?>
<comments xmlns="http://schemas.openxmlformats.org/spreadsheetml/2006/main">
  <authors>
    <author>S.mohri</author>
    <author>Naseer</author>
  </authors>
  <commentList>
    <comment ref="H4" authorId="0">
      <text>
        <r>
          <rPr>
            <b/>
            <sz val="9"/>
            <color indexed="81"/>
            <rFont val="Tahoma"/>
          </rPr>
          <t>بدون افزایش = 1
10 درصد افزایش = 1.1
20 درصد افزایش = 1.2
35 درصد افزایش = 1.35</t>
        </r>
      </text>
    </comment>
    <comment ref="C44" authorId="1">
      <text>
        <r>
          <rPr>
            <b/>
            <sz val="9"/>
            <color indexed="81"/>
            <rFont val="Tahoma"/>
            <family val="2"/>
          </rPr>
          <t>میزان ضریب افزایش حقوق و مزایا در دستگاه خود را وارد نمایید.
مخصوص قوه قضاییه ، سازمان امور مالیاتی ، وزارت کشور ، آموزش و پرورش و ...
**** اعداد بصورت زیر وارد شود ****
بدون ضریب = 1
با افزایش 10 % = 1/1
با افزایش 35 درصد = 1/35
با افزایش 50 درصد = 1/5</t>
        </r>
      </text>
    </comment>
    <comment ref="C46" authorId="1">
      <text>
        <r>
          <rPr>
            <b/>
            <sz val="9"/>
            <color indexed="81"/>
            <rFont val="Tahoma"/>
            <family val="2"/>
          </rPr>
          <t xml:space="preserve">
آخرین مدرک تحصیلی که در حکم سال 1396 اعمال گردیده را انتخاب نمایید
</t>
        </r>
      </text>
    </comment>
    <comment ref="F46" authorId="1">
      <text>
        <r>
          <rPr>
            <b/>
            <sz val="9"/>
            <color indexed="81"/>
            <rFont val="Tahoma"/>
            <family val="2"/>
          </rPr>
          <t xml:space="preserve">مدت خدمت در پست های سرپرستی و مدیریتی را محاسبه و به تفکیک روز /ماه / سال وارد نمایید
</t>
        </r>
      </text>
    </comment>
    <comment ref="C48" authorId="1">
      <text>
        <r>
          <rPr>
            <b/>
            <sz val="9"/>
            <color indexed="81"/>
            <rFont val="Tahoma"/>
            <family val="2"/>
          </rPr>
          <t xml:space="preserve">
مجموع ساعات دوره های آموزشی مورد قبول دستگاه را وارد نمایید. حداکثر 1000 ساعت</t>
        </r>
      </text>
    </comment>
    <comment ref="A51" authorId="1">
      <text>
        <r>
          <rPr>
            <b/>
            <sz val="9"/>
            <color indexed="81"/>
            <rFont val="Tahoma"/>
            <family val="2"/>
          </rPr>
          <t>حداکثر جمع مدت سابقه دولتی قابل قبول 30 سال می باشد
لطفا از درج مدت بیش از 30 سال خودداری نمایید
* مدت خدمت وظیفه عمومی جزو سنوات دولتی قابل احتساب می باشد</t>
        </r>
      </text>
    </comment>
    <comment ref="F51" authorId="1">
      <text>
        <r>
          <rPr>
            <b/>
            <sz val="9"/>
            <color indexed="81"/>
            <rFont val="Tahoma"/>
            <family val="2"/>
          </rPr>
          <t>حداکثر جمع مدت تجربه قابل احتساب 30 سال می باشد
لطفا از درج مدت بیش از 30 سال خودداری نمایید</t>
        </r>
      </text>
    </comment>
  </commentList>
</comments>
</file>

<file path=xl/sharedStrings.xml><?xml version="1.0" encoding="utf-8"?>
<sst xmlns="http://schemas.openxmlformats.org/spreadsheetml/2006/main" count="276" uniqueCount="159">
  <si>
    <t>تحصيلات</t>
  </si>
  <si>
    <t>زير ديپلم</t>
  </si>
  <si>
    <t>ديپلم</t>
  </si>
  <si>
    <t>فوق ديپلم</t>
  </si>
  <si>
    <t>ليسانس</t>
  </si>
  <si>
    <t>فوق ليسانس</t>
  </si>
  <si>
    <t>دكتري</t>
  </si>
  <si>
    <t>امتياز حق شاغل</t>
  </si>
  <si>
    <t>دوره هاي آموزشي</t>
  </si>
  <si>
    <t>امتياز مهارت و توانايي</t>
  </si>
  <si>
    <t>سنوات خدمت</t>
  </si>
  <si>
    <t>روز</t>
  </si>
  <si>
    <t>ماه</t>
  </si>
  <si>
    <t>سال</t>
  </si>
  <si>
    <t>سنوات به روز</t>
  </si>
  <si>
    <t>امتياز تجربه</t>
  </si>
  <si>
    <t>تجربه به روز</t>
  </si>
  <si>
    <t>سربازي</t>
  </si>
  <si>
    <t>امتياز سرپرستي</t>
  </si>
  <si>
    <t>سرپرستي</t>
  </si>
  <si>
    <t>مديريتي</t>
  </si>
  <si>
    <t>امتياز به روز</t>
  </si>
  <si>
    <t>فوق العاده مديريت</t>
  </si>
  <si>
    <t>حق شغل</t>
  </si>
  <si>
    <t>امتياز ايثارگري</t>
  </si>
  <si>
    <t>جانبازي</t>
  </si>
  <si>
    <t>بالاتر از 60</t>
  </si>
  <si>
    <t>جبه</t>
  </si>
  <si>
    <t>امتياز</t>
  </si>
  <si>
    <t>بالاترين امتياز</t>
  </si>
  <si>
    <t>3تا6</t>
  </si>
  <si>
    <t>6تا12</t>
  </si>
  <si>
    <t>12تا18</t>
  </si>
  <si>
    <t>18تا24</t>
  </si>
  <si>
    <t>24تا30</t>
  </si>
  <si>
    <t>30تا36</t>
  </si>
  <si>
    <t>36تا42</t>
  </si>
  <si>
    <t>42تا48</t>
  </si>
  <si>
    <t>48تا54</t>
  </si>
  <si>
    <t>54تا60</t>
  </si>
  <si>
    <t>60تا70</t>
  </si>
  <si>
    <t>70 به بالا</t>
  </si>
  <si>
    <t>كسور مشمول 87</t>
  </si>
  <si>
    <t>سختي كار</t>
  </si>
  <si>
    <t>عائله مندي87</t>
  </si>
  <si>
    <t>اولاد87</t>
  </si>
  <si>
    <t>حقوق مشمول و ع وا</t>
  </si>
  <si>
    <t>عائله مندي 88</t>
  </si>
  <si>
    <t>اولاد 88</t>
  </si>
  <si>
    <t>جمع</t>
  </si>
  <si>
    <t>بدي آب و هوا</t>
  </si>
  <si>
    <t xml:space="preserve"> فوق العاده محل خدمت</t>
  </si>
  <si>
    <t>مجموع امتياز سرپرستي و مديريت</t>
  </si>
  <si>
    <t>حق شاغل+امتيازم وس</t>
  </si>
  <si>
    <t>درصد جانبازي</t>
  </si>
  <si>
    <t xml:space="preserve">25درصدامتياز </t>
  </si>
  <si>
    <t>مدت خدمت جبهه</t>
  </si>
  <si>
    <t>كد را وارد كنيد</t>
  </si>
  <si>
    <t>تعداد اولاد 1388</t>
  </si>
  <si>
    <t>كسور مشمول منهاي سختي كار</t>
  </si>
  <si>
    <t>كسور</t>
  </si>
  <si>
    <t>تعداد اولاد</t>
  </si>
  <si>
    <t>جمع سنوات</t>
  </si>
  <si>
    <t>جمع تجربه</t>
  </si>
  <si>
    <t>حق نوار مرزي</t>
  </si>
  <si>
    <t>محروميت از تسهيلات</t>
  </si>
  <si>
    <t>میزان ساعات دوره هاي آموزشي</t>
  </si>
  <si>
    <t>مدت سوابق خدمت دولتی قابل قبول به تفکیک مدرک تحصیلی</t>
  </si>
  <si>
    <t>مدت تجربه مربوط و مشابه قابل قبول در دستگاه به تفکیک مدرک تحصیلی</t>
  </si>
  <si>
    <t xml:space="preserve">میزان ضریب افزایش حقوق در دستگاه </t>
  </si>
  <si>
    <t>عنوان</t>
  </si>
  <si>
    <t xml:space="preserve">فوق العاده مدیریت </t>
  </si>
  <si>
    <t>تفاوت تطبیق</t>
  </si>
  <si>
    <t>فوق العاده شغل</t>
  </si>
  <si>
    <t>فوق العاده ویژه</t>
  </si>
  <si>
    <t>فوق العاده ایثارگری</t>
  </si>
  <si>
    <t>فوق العاده ایثارگری موضوع ماده 51 قانون جامع</t>
  </si>
  <si>
    <t>فوق العاده سختی کار</t>
  </si>
  <si>
    <t>کمک هزینه عائله مندی</t>
  </si>
  <si>
    <t>کمک هزینه اولاد</t>
  </si>
  <si>
    <t>جز ب بند 11 قانون بودجه سال 1388</t>
  </si>
  <si>
    <t>فوق العاده بدی آب و هوا</t>
  </si>
  <si>
    <t>فوق العاده مناطق کمتر توسعه یافته</t>
  </si>
  <si>
    <t>جمع نهایی مبالغ حکم کارگزینی</t>
  </si>
  <si>
    <t>ضریب سال 1396</t>
  </si>
  <si>
    <t>ضریب سال 1397</t>
  </si>
  <si>
    <t>امتیاز</t>
  </si>
  <si>
    <t>فوق العاده نشان های دولتی</t>
  </si>
  <si>
    <t>فوق العاده خدمت در مناطق جنگ زده</t>
  </si>
  <si>
    <t>میزان افزایش حکم در سال 1397</t>
  </si>
  <si>
    <t xml:space="preserve">حق شاغل </t>
  </si>
  <si>
    <t xml:space="preserve">آخرین مدرک تحصیلی اعمال شده </t>
  </si>
  <si>
    <t>حقوق و مزایای مشمول کسور سال 1397</t>
  </si>
  <si>
    <t>حقوق به میلیون ريال</t>
  </si>
  <si>
    <t>ضریب تعدیل</t>
  </si>
  <si>
    <t>سایر-جز ب بند 11 قانون بودجه سال 1388</t>
  </si>
  <si>
    <t>شاغل با 75 درصد</t>
  </si>
  <si>
    <t>امتیاز حق شاغل با ضریب</t>
  </si>
  <si>
    <t>ضریب</t>
  </si>
  <si>
    <t xml:space="preserve">درصد افزایش حکم </t>
  </si>
  <si>
    <t>حداقل دریافتی</t>
  </si>
  <si>
    <t>مبلغ حداقل دریافتی سال 97</t>
  </si>
  <si>
    <t>امتیاز سنوات خدمت</t>
  </si>
  <si>
    <t>ضریب نهایی تعدیل</t>
  </si>
  <si>
    <t>مقایسه جهت حداقل دریافتی</t>
  </si>
  <si>
    <t>75درصد حق شغل و مدیریت</t>
  </si>
  <si>
    <t>امتياز منظور شده مدیریت</t>
  </si>
  <si>
    <t>ضریب تعدیل نهایی</t>
  </si>
  <si>
    <t>ضریب سال 97</t>
  </si>
  <si>
    <t>ضریب سال 98</t>
  </si>
  <si>
    <t>جمع حقوق و مزایای مشمول کسور سال 98</t>
  </si>
  <si>
    <t>حداقل دریافتی سال 98</t>
  </si>
  <si>
    <t>حق شاغل اعمال شده در فایل 98</t>
  </si>
  <si>
    <t>حق شاغل 98 محاسبه سیستم</t>
  </si>
  <si>
    <t>حداقل امتیاز حق شاغل بدون هیچ افزایشی</t>
  </si>
  <si>
    <t>حقوق و مزایای مشمول کسور سال 97</t>
  </si>
  <si>
    <t>درصد فوق العاده ویژه 97</t>
  </si>
  <si>
    <t>مشمول کسور سال 98</t>
  </si>
  <si>
    <t>ویژه 98</t>
  </si>
  <si>
    <t xml:space="preserve">حداقل دریافتی سال 98 با محاسبه حداقل حقوق </t>
  </si>
  <si>
    <t>میزان افزایش سال 98</t>
  </si>
  <si>
    <t>چک کردن 440 هزار تومان افزایش</t>
  </si>
  <si>
    <t>اضافه نمودن مبلغ بیش از 440 هزار و عدد نهایی حداقل دریافتی</t>
  </si>
  <si>
    <t>عدد نهایی حداقل دریافتی</t>
  </si>
  <si>
    <r>
      <t xml:space="preserve">20درصد </t>
    </r>
    <r>
      <rPr>
        <sz val="9"/>
        <color theme="0"/>
        <rFont val="Arial"/>
        <family val="2"/>
      </rPr>
      <t>75درصد</t>
    </r>
  </si>
  <si>
    <r>
      <t xml:space="preserve">حق شاغل </t>
    </r>
    <r>
      <rPr>
        <sz val="9"/>
        <color theme="0"/>
        <rFont val="Arial"/>
        <family val="2"/>
      </rPr>
      <t>بعدازمقايسه75</t>
    </r>
  </si>
  <si>
    <t>جمع سنوات تا تاریخ 98/1/1</t>
  </si>
  <si>
    <t>جمع تجربه تا تاریخ 98/1/1</t>
  </si>
  <si>
    <t>مدت خدمت در پست های سرپرستی و مدیریتی تا تاریخ 98/1/1</t>
  </si>
  <si>
    <t>تفاوت بند (ی) تبصره 12 قانون بودجه سال 98</t>
  </si>
  <si>
    <t>ضریب سال 97 فرد</t>
  </si>
  <si>
    <t>محاسبه 440 هزار تومان</t>
  </si>
  <si>
    <t>امتیاز 97 با 1797</t>
  </si>
  <si>
    <t>جمع حقوق و مزایای مشمول کسور سال97 بدون تعدیل</t>
  </si>
  <si>
    <t>امتیاز 98 با 2120</t>
  </si>
  <si>
    <t>ما به التفاوت مشمول کسور 97 با 98</t>
  </si>
  <si>
    <t>ما به التفاوت با 440 هزار</t>
  </si>
  <si>
    <t>امتیاز ناشی از ما به التفاوت 440 هزار</t>
  </si>
  <si>
    <t>امتیاز ناشی از ضریب تعدیل</t>
  </si>
  <si>
    <t>افزایش ناشی از ضریب تعدیل</t>
  </si>
  <si>
    <t>ضریب تعدیل 97</t>
  </si>
  <si>
    <t>مبلغ نهایی 97</t>
  </si>
  <si>
    <t>تفاوت جزء (1) بند الف تبصره 12 قانون بودجه سال 97</t>
  </si>
  <si>
    <r>
      <t xml:space="preserve">در صورتیکه تمایل دارید امتیاز حق شاغل شما بصورت دقیق محاسبه گردد لازم است نسبت به تکمیل خانه های </t>
    </r>
    <r>
      <rPr>
        <u/>
        <sz val="10"/>
        <rFont val="B Koodak"/>
        <charset val="178"/>
      </rPr>
      <t>سبز رنگ</t>
    </r>
    <r>
      <rPr>
        <sz val="10"/>
        <rFont val="B Koodak"/>
        <charset val="178"/>
      </rPr>
      <t xml:space="preserve"> ذیل و درج اطلاعات شغلی  (مدرک تحصیلی ، دوره های آموزشی ، مدت سوابق خدمت دولتی به تفکیک مدرک تحصیلی ، مدت تجربه مربوط و مشابه به تفکیک مدرک تحصیلی ، مدت خدمت در پست های سرپرستی و مدیریتی ) اقدام نمایید. در صورتیکه به هر دلیلی تمایل به تکمیل خانه های سبز رنگ و جداول یاد شده ندارید ، سیستم مبلغ حق شاغل شما در سال 98 را حدودی محاسبه خواهد نمود که عدد مذکور کمتر از عدد واقعی ولی نزدیک به آن خواهد بود.</t>
    </r>
  </si>
  <si>
    <t>میزان افزایش امتیازات فصل دهم قبل از ابلاغ بخشنامه مورخ 98/11/30 سازمان برنامه و بودجه</t>
  </si>
  <si>
    <t>امتیازات مندرج در آخرین حکم سال 98</t>
  </si>
  <si>
    <r>
      <t xml:space="preserve">مبالغ مندرج در آخرین حکم کارگزینی فقط در خانه های </t>
    </r>
    <r>
      <rPr>
        <sz val="12"/>
        <color rgb="FFFFFF00"/>
        <rFont val="B Koodak"/>
        <charset val="178"/>
      </rPr>
      <t xml:space="preserve">زرد </t>
    </r>
    <r>
      <rPr>
        <sz val="12"/>
        <color theme="0"/>
        <rFont val="B Koodak"/>
        <charset val="178"/>
      </rPr>
      <t>رنگ وارد شود</t>
    </r>
  </si>
  <si>
    <t>مبلغ هر ساعت اضافه کار با 50 درصد</t>
  </si>
  <si>
    <t>مبلغ هرساعت اضافه کار قبلی</t>
  </si>
  <si>
    <t>میزان افزایش مبلغ اضافه کار</t>
  </si>
  <si>
    <t>درصد افزایش اضافه کار</t>
  </si>
  <si>
    <t>مبلغ افزایش حکم</t>
  </si>
  <si>
    <r>
      <t xml:space="preserve">محاسبه حکم کارگزینی کارکنان رسمی و قرارداد کارکنان پیمانی 
 بر اساس بخشنامه شماره 696488 تاریخ 98/11/30 سازمان برنامه و بودجه کشور
</t>
    </r>
    <r>
      <rPr>
        <sz val="8"/>
        <color theme="3" tint="-0.249977111117893"/>
        <rFont val="B Koodak"/>
        <charset val="178"/>
      </rPr>
      <t>تهیه و تنظیم : ناصر مه آبادی کارشناس مسئول منابع انسانی سازمان ثبت احوال کشور                   نسخه 3-98
درصورت وجود هر گونه ابهام یا سوال و ارائه پیشنهاد در خصوص این فایل با آی دی @NaserMahabadi در تلگرام و یا ایمیل NaserMahabadi@gmail.com با اینجانب در ارتباط باشید</t>
    </r>
  </si>
  <si>
    <t>مبالغ مندرج در آخرین حکم سال 98</t>
  </si>
  <si>
    <t>https://shenasname.ir</t>
  </si>
  <si>
    <t xml:space="preserve"> درصد افزایش  *</t>
  </si>
  <si>
    <t>*</t>
  </si>
  <si>
    <t>کارمند گرامی ، میزان افزایش این خانه بر اساس میزان افزایش امتیازات ، که  دستگاه شما تعیین کرده می باشد و تا 50 درصد قابل انتخاب است</t>
  </si>
  <si>
    <t>مبالغ جدید با افزایش تا 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</si>
</sst>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_-* #,##0.00\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_-* #,##0\-;_-* &quot;-&quot;??_-;_-@_-"/>
    <numFmt numFmtId="167" formatCode="_-&quot;ريال&quot;* #,##0_-;_-&quot;ريال&quot;* #,##0\-;_-&quot;ريال&quot;* &quot;-&quot;??_-;_-@_-"/>
    <numFmt numFmtId="168" formatCode="_-* #,##0.000000_-;_-* #,##0.000000\-;_-* &quot;-&quot;??_-;_-@_-"/>
    <numFmt numFmtId="169" formatCode="0.000000"/>
  </numFmts>
  <fonts count="31" x14ac:knownFonts="1">
    <font>
      <sz val="10"/>
      <name val="Arial"/>
      <charset val="178"/>
    </font>
    <font>
      <sz val="10"/>
      <name val="Arial"/>
      <family val="2"/>
    </font>
    <font>
      <sz val="8"/>
      <name val="Arial"/>
      <family val="2"/>
    </font>
    <font>
      <sz val="10"/>
      <name val="B Koodak"/>
      <charset val="178"/>
    </font>
    <font>
      <b/>
      <sz val="9"/>
      <color indexed="81"/>
      <name val="Tahoma"/>
      <family val="2"/>
    </font>
    <font>
      <b/>
      <sz val="10"/>
      <name val="B Koodak"/>
      <charset val="178"/>
    </font>
    <font>
      <sz val="12"/>
      <name val="B Koodak"/>
      <charset val="178"/>
    </font>
    <font>
      <sz val="12"/>
      <color theme="1"/>
      <name val="B Koodak"/>
      <charset val="178"/>
    </font>
    <font>
      <sz val="12"/>
      <color theme="0"/>
      <name val="B Koodak"/>
      <charset val="178"/>
    </font>
    <font>
      <sz val="12"/>
      <color rgb="FFFF0000"/>
      <name val="B Koodak"/>
      <charset val="178"/>
    </font>
    <font>
      <sz val="12"/>
      <color theme="5" tint="-0.249977111117893"/>
      <name val="B Koodak"/>
      <charset val="178"/>
    </font>
    <font>
      <sz val="10"/>
      <color theme="5" tint="-0.249977111117893"/>
      <name val="B Koodak"/>
      <charset val="178"/>
    </font>
    <font>
      <sz val="11"/>
      <color theme="5" tint="-0.249977111117893"/>
      <name val="B Koodak"/>
      <charset val="178"/>
    </font>
    <font>
      <b/>
      <sz val="12"/>
      <name val="B Koodak"/>
      <charset val="178"/>
    </font>
    <font>
      <u/>
      <sz val="10"/>
      <name val="B Koodak"/>
      <charset val="178"/>
    </font>
    <font>
      <sz val="10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B Koodak"/>
      <charset val="178"/>
    </font>
    <font>
      <sz val="11"/>
      <name val="B Koodak"/>
      <charset val="178"/>
    </font>
    <font>
      <sz val="10"/>
      <color theme="0"/>
      <name val="B Koodak"/>
      <charset val="178"/>
    </font>
    <font>
      <b/>
      <sz val="9"/>
      <color indexed="81"/>
      <name val="Tahoma"/>
    </font>
    <font>
      <sz val="20"/>
      <color theme="3" tint="-0.249977111117893"/>
      <name val="B Koodak"/>
      <charset val="178"/>
    </font>
    <font>
      <sz val="8"/>
      <color theme="3" tint="-0.249977111117893"/>
      <name val="B Koodak"/>
      <charset val="178"/>
    </font>
    <font>
      <sz val="12"/>
      <color rgb="FFFFFF00"/>
      <name val="B Koodak"/>
      <charset val="178"/>
    </font>
    <font>
      <u/>
      <sz val="10"/>
      <color theme="10"/>
      <name val="Arial"/>
      <family val="2"/>
    </font>
    <font>
      <sz val="14"/>
      <name val="B Koodak"/>
      <charset val="178"/>
    </font>
    <font>
      <b/>
      <sz val="12"/>
      <color rgb="FFFF0000"/>
      <name val="B Koodak"/>
      <charset val="178"/>
    </font>
    <font>
      <sz val="8"/>
      <name val="B Koodak"/>
      <charset val="17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DC2C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gradientFill degree="270">
        <stop position="0">
          <color theme="0"/>
        </stop>
        <stop position="1">
          <color theme="4"/>
        </stop>
      </gradientFill>
    </fill>
    <fill>
      <patternFill patternType="solid">
        <fgColor theme="4" tint="0.79998168889431442"/>
        <bgColor indexed="64"/>
      </patternFill>
    </fill>
    <fill>
      <patternFill patternType="gray0625"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18">
    <xf numFmtId="0" fontId="0" fillId="0" borderId="0" xfId="0"/>
    <xf numFmtId="0" fontId="7" fillId="0" borderId="0" xfId="0" applyFont="1" applyProtection="1"/>
    <xf numFmtId="0" fontId="0" fillId="3" borderId="0" xfId="0" applyFill="1" applyProtection="1"/>
    <xf numFmtId="0" fontId="0" fillId="0" borderId="0" xfId="0" applyProtection="1"/>
    <xf numFmtId="0" fontId="5" fillId="3" borderId="0" xfId="0" applyFont="1" applyFill="1" applyBorder="1" applyProtection="1"/>
    <xf numFmtId="165" fontId="8" fillId="3" borderId="0" xfId="1" applyNumberFormat="1" applyFont="1" applyFill="1" applyBorder="1" applyAlignment="1" applyProtection="1">
      <alignment horizontal="center" vertical="center"/>
    </xf>
    <xf numFmtId="0" fontId="3" fillId="2" borderId="0" xfId="0" applyFont="1" applyFill="1" applyProtection="1"/>
    <xf numFmtId="165" fontId="0" fillId="0" borderId="0" xfId="0" applyNumberFormat="1" applyProtection="1"/>
    <xf numFmtId="0" fontId="3" fillId="3" borderId="0" xfId="0" applyFont="1" applyFill="1" applyBorder="1" applyProtection="1"/>
    <xf numFmtId="0" fontId="5" fillId="5" borderId="1" xfId="0" applyFont="1" applyFill="1" applyBorder="1" applyAlignment="1" applyProtection="1">
      <alignment horizontal="center"/>
    </xf>
    <xf numFmtId="0" fontId="6" fillId="5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/>
    </xf>
    <xf numFmtId="1" fontId="3" fillId="3" borderId="0" xfId="0" applyNumberFormat="1" applyFont="1" applyFill="1" applyBorder="1" applyAlignment="1" applyProtection="1">
      <alignment horizontal="center"/>
    </xf>
    <xf numFmtId="1" fontId="5" fillId="5" borderId="1" xfId="0" applyNumberFormat="1" applyFont="1" applyFill="1" applyBorder="1" applyAlignment="1" applyProtection="1">
      <alignment horizontal="center"/>
    </xf>
    <xf numFmtId="1" fontId="6" fillId="5" borderId="1" xfId="0" applyNumberFormat="1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1" fontId="3" fillId="5" borderId="1" xfId="0" applyNumberFormat="1" applyFont="1" applyFill="1" applyBorder="1" applyAlignment="1" applyProtection="1">
      <alignment horizontal="center"/>
    </xf>
    <xf numFmtId="1" fontId="3" fillId="3" borderId="0" xfId="0" applyNumberFormat="1" applyFont="1" applyFill="1" applyProtection="1"/>
    <xf numFmtId="1" fontId="3" fillId="3" borderId="0" xfId="0" applyNumberFormat="1" applyFont="1" applyFill="1" applyBorder="1" applyProtection="1"/>
    <xf numFmtId="0" fontId="5" fillId="5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/>
    </xf>
    <xf numFmtId="0" fontId="3" fillId="0" borderId="0" xfId="0" applyFont="1" applyProtection="1"/>
    <xf numFmtId="0" fontId="15" fillId="0" borderId="0" xfId="0" applyFont="1"/>
    <xf numFmtId="9" fontId="15" fillId="0" borderId="0" xfId="2" applyFont="1"/>
    <xf numFmtId="166" fontId="15" fillId="0" borderId="0" xfId="1" applyNumberFormat="1" applyFont="1"/>
    <xf numFmtId="0" fontId="15" fillId="3" borderId="0" xfId="0" applyFont="1" applyFill="1" applyBorder="1"/>
    <xf numFmtId="1" fontId="15" fillId="3" borderId="0" xfId="0" applyNumberFormat="1" applyFont="1" applyFill="1" applyBorder="1"/>
    <xf numFmtId="0" fontId="16" fillId="3" borderId="0" xfId="0" applyFont="1" applyFill="1" applyBorder="1"/>
    <xf numFmtId="0" fontId="17" fillId="3" borderId="0" xfId="0" applyFont="1" applyFill="1" applyBorder="1"/>
    <xf numFmtId="0" fontId="15" fillId="3" borderId="0" xfId="0" applyFont="1" applyFill="1" applyBorder="1" applyAlignment="1">
      <alignment horizontal="center"/>
    </xf>
    <xf numFmtId="167" fontId="15" fillId="3" borderId="0" xfId="0" applyNumberFormat="1" applyFont="1" applyFill="1" applyBorder="1"/>
    <xf numFmtId="2" fontId="15" fillId="3" borderId="0" xfId="0" applyNumberFormat="1" applyFont="1" applyFill="1" applyBorder="1"/>
    <xf numFmtId="0" fontId="18" fillId="3" borderId="0" xfId="0" applyFont="1" applyFill="1" applyBorder="1"/>
    <xf numFmtId="0" fontId="15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/>
    </xf>
    <xf numFmtId="1" fontId="18" fillId="3" borderId="0" xfId="0" applyNumberFormat="1" applyFont="1" applyFill="1" applyBorder="1"/>
    <xf numFmtId="0" fontId="8" fillId="3" borderId="0" xfId="0" applyFont="1" applyFill="1" applyBorder="1"/>
    <xf numFmtId="0" fontId="18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left"/>
    </xf>
    <xf numFmtId="1" fontId="15" fillId="3" borderId="0" xfId="0" applyNumberFormat="1" applyFont="1" applyFill="1" applyBorder="1" applyAlignment="1">
      <alignment horizontal="center"/>
    </xf>
    <xf numFmtId="0" fontId="15" fillId="3" borderId="0" xfId="0" applyFont="1" applyFill="1" applyBorder="1" applyAlignment="1"/>
    <xf numFmtId="166" fontId="15" fillId="3" borderId="0" xfId="1" applyNumberFormat="1" applyFont="1" applyFill="1" applyBorder="1"/>
    <xf numFmtId="165" fontId="15" fillId="3" borderId="0" xfId="1" applyNumberFormat="1" applyFont="1" applyFill="1" applyBorder="1"/>
    <xf numFmtId="168" fontId="15" fillId="3" borderId="0" xfId="1" applyNumberFormat="1" applyFont="1" applyFill="1" applyBorder="1"/>
    <xf numFmtId="169" fontId="15" fillId="3" borderId="0" xfId="0" applyNumberFormat="1" applyFont="1" applyFill="1" applyBorder="1"/>
    <xf numFmtId="166" fontId="15" fillId="3" borderId="0" xfId="0" applyNumberFormat="1" applyFont="1" applyFill="1" applyBorder="1"/>
    <xf numFmtId="164" fontId="15" fillId="3" borderId="0" xfId="0" applyNumberFormat="1" applyFont="1" applyFill="1" applyBorder="1"/>
    <xf numFmtId="1" fontId="18" fillId="3" borderId="0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right"/>
    </xf>
    <xf numFmtId="166" fontId="0" fillId="0" borderId="0" xfId="0" applyNumberFormat="1" applyProtection="1"/>
    <xf numFmtId="0" fontId="7" fillId="3" borderId="0" xfId="0" applyFont="1" applyFill="1" applyBorder="1" applyAlignment="1" applyProtection="1">
      <alignment horizontal="center"/>
    </xf>
    <xf numFmtId="166" fontId="7" fillId="3" borderId="1" xfId="1" applyNumberFormat="1" applyFont="1" applyFill="1" applyBorder="1" applyAlignment="1" applyProtection="1">
      <alignment horizontal="center" vertical="center"/>
    </xf>
    <xf numFmtId="166" fontId="7" fillId="3" borderId="0" xfId="1" applyNumberFormat="1" applyFont="1" applyFill="1" applyBorder="1" applyAlignment="1" applyProtection="1">
      <alignment vertical="center"/>
    </xf>
    <xf numFmtId="10" fontId="15" fillId="0" borderId="0" xfId="2" applyNumberFormat="1" applyFont="1"/>
    <xf numFmtId="166" fontId="22" fillId="3" borderId="0" xfId="1" applyNumberFormat="1" applyFont="1" applyFill="1" applyBorder="1" applyAlignment="1" applyProtection="1">
      <protection hidden="1"/>
    </xf>
    <xf numFmtId="0" fontId="22" fillId="3" borderId="0" xfId="0" applyFont="1" applyFill="1" applyBorder="1" applyAlignment="1" applyProtection="1">
      <protection hidden="1"/>
    </xf>
    <xf numFmtId="166" fontId="15" fillId="0" borderId="0" xfId="0" applyNumberFormat="1" applyFont="1"/>
    <xf numFmtId="166" fontId="22" fillId="3" borderId="0" xfId="0" applyNumberFormat="1" applyFont="1" applyFill="1" applyBorder="1" applyAlignment="1" applyProtection="1">
      <protection hidden="1"/>
    </xf>
    <xf numFmtId="165" fontId="7" fillId="3" borderId="1" xfId="1" applyNumberFormat="1" applyFont="1" applyFill="1" applyBorder="1" applyAlignment="1" applyProtection="1">
      <alignment horizontal="center" vertical="center"/>
    </xf>
    <xf numFmtId="165" fontId="13" fillId="5" borderId="1" xfId="1" applyNumberFormat="1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horizontal="center" vertical="center"/>
    </xf>
    <xf numFmtId="0" fontId="9" fillId="9" borderId="0" xfId="0" applyFont="1" applyFill="1" applyAlignment="1" applyProtection="1">
      <alignment wrapText="1"/>
    </xf>
    <xf numFmtId="165" fontId="13" fillId="10" borderId="1" xfId="1" applyNumberFormat="1" applyFont="1" applyFill="1" applyBorder="1" applyAlignment="1" applyProtection="1">
      <alignment horizontal="center" vertical="center" wrapText="1"/>
    </xf>
    <xf numFmtId="0" fontId="3" fillId="3" borderId="0" xfId="0" applyFont="1" applyFill="1" applyProtection="1"/>
    <xf numFmtId="0" fontId="6" fillId="0" borderId="3" xfId="0" applyFont="1" applyBorder="1" applyAlignment="1" applyProtection="1">
      <alignment horizontal="center" vertical="center"/>
    </xf>
    <xf numFmtId="0" fontId="3" fillId="6" borderId="1" xfId="0" applyNumberFormat="1" applyFont="1" applyFill="1" applyBorder="1" applyAlignment="1" applyProtection="1">
      <alignment horizontal="center"/>
    </xf>
    <xf numFmtId="0" fontId="6" fillId="6" borderId="1" xfId="0" applyFont="1" applyFill="1" applyBorder="1" applyProtection="1"/>
    <xf numFmtId="1" fontId="6" fillId="6" borderId="1" xfId="0" applyNumberFormat="1" applyFont="1" applyFill="1" applyBorder="1" applyAlignment="1" applyProtection="1">
      <alignment horizontal="center" vertical="center"/>
    </xf>
    <xf numFmtId="1" fontId="3" fillId="6" borderId="1" xfId="0" applyNumberFormat="1" applyFont="1" applyFill="1" applyBorder="1" applyAlignment="1" applyProtection="1">
      <alignment horizontal="center"/>
    </xf>
    <xf numFmtId="1" fontId="6" fillId="6" borderId="1" xfId="0" applyNumberFormat="1" applyFont="1" applyFill="1" applyBorder="1" applyAlignment="1" applyProtection="1">
      <alignment horizontal="center"/>
    </xf>
    <xf numFmtId="165" fontId="7" fillId="4" borderId="1" xfId="1" applyNumberFormat="1" applyFont="1" applyFill="1" applyBorder="1" applyAlignment="1" applyProtection="1">
      <alignment horizontal="center" vertical="center"/>
      <protection locked="0"/>
    </xf>
    <xf numFmtId="0" fontId="27" fillId="3" borderId="0" xfId="3" applyFill="1" applyProtection="1"/>
    <xf numFmtId="0" fontId="28" fillId="4" borderId="1" xfId="0" applyFont="1" applyFill="1" applyBorder="1" applyAlignment="1" applyProtection="1">
      <alignment horizontal="center" vertical="center"/>
      <protection locked="0"/>
    </xf>
    <xf numFmtId="0" fontId="28" fillId="4" borderId="0" xfId="0" applyFont="1" applyFill="1" applyAlignment="1" applyProtection="1">
      <alignment horizontal="center" vertical="center"/>
      <protection locked="0"/>
    </xf>
    <xf numFmtId="9" fontId="15" fillId="0" borderId="0" xfId="0" applyNumberFormat="1" applyFont="1"/>
    <xf numFmtId="165" fontId="6" fillId="11" borderId="1" xfId="1" applyNumberFormat="1" applyFont="1" applyFill="1" applyBorder="1" applyAlignment="1" applyProtection="1">
      <alignment horizontal="center" vertical="center"/>
    </xf>
    <xf numFmtId="165" fontId="29" fillId="10" borderId="1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30" fillId="0" borderId="0" xfId="0" applyFont="1" applyAlignment="1" applyProtection="1"/>
    <xf numFmtId="165" fontId="7" fillId="4" borderId="1" xfId="1" applyNumberFormat="1" applyFont="1" applyFill="1" applyBorder="1" applyAlignment="1" applyProtection="1">
      <alignment horizontal="center" vertical="center"/>
      <protection locked="0"/>
    </xf>
    <xf numFmtId="165" fontId="7" fillId="3" borderId="1" xfId="1" applyNumberFormat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/>
    </xf>
    <xf numFmtId="0" fontId="10" fillId="3" borderId="5" xfId="0" applyFont="1" applyFill="1" applyBorder="1" applyAlignment="1" applyProtection="1">
      <alignment horizontal="center"/>
    </xf>
    <xf numFmtId="0" fontId="10" fillId="3" borderId="6" xfId="0" applyFont="1" applyFill="1" applyBorder="1" applyAlignment="1" applyProtection="1">
      <alignment horizontal="center"/>
    </xf>
    <xf numFmtId="0" fontId="10" fillId="3" borderId="7" xfId="0" applyFont="1" applyFill="1" applyBorder="1" applyAlignment="1" applyProtection="1">
      <alignment horizontal="center"/>
    </xf>
    <xf numFmtId="0" fontId="21" fillId="0" borderId="1" xfId="0" applyFont="1" applyBorder="1" applyAlignment="1" applyProtection="1">
      <alignment horizontal="center"/>
    </xf>
    <xf numFmtId="166" fontId="7" fillId="3" borderId="5" xfId="1" applyNumberFormat="1" applyFont="1" applyFill="1" applyBorder="1" applyAlignment="1" applyProtection="1">
      <alignment horizontal="center" vertical="center" wrapText="1"/>
    </xf>
    <xf numFmtId="166" fontId="7" fillId="3" borderId="7" xfId="1" applyNumberFormat="1" applyFont="1" applyFill="1" applyBorder="1" applyAlignment="1" applyProtection="1">
      <alignment horizontal="center" vertical="center" wrapText="1"/>
    </xf>
    <xf numFmtId="9" fontId="7" fillId="3" borderId="5" xfId="2" applyNumberFormat="1" applyFont="1" applyFill="1" applyBorder="1" applyAlignment="1" applyProtection="1">
      <alignment horizontal="center" vertical="center" wrapText="1"/>
    </xf>
    <xf numFmtId="9" fontId="7" fillId="3" borderId="7" xfId="2" applyNumberFormat="1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/>
    </xf>
    <xf numFmtId="0" fontId="11" fillId="3" borderId="6" xfId="0" applyFont="1" applyFill="1" applyBorder="1" applyAlignment="1" applyProtection="1">
      <alignment horizontal="center"/>
    </xf>
    <xf numFmtId="0" fontId="11" fillId="3" borderId="7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13" fillId="5" borderId="2" xfId="0" applyFont="1" applyFill="1" applyBorder="1" applyAlignment="1" applyProtection="1">
      <alignment horizontal="center"/>
    </xf>
    <xf numFmtId="0" fontId="13" fillId="5" borderId="3" xfId="0" applyFont="1" applyFill="1" applyBorder="1" applyAlignment="1" applyProtection="1">
      <alignment horizontal="center"/>
    </xf>
    <xf numFmtId="0" fontId="6" fillId="5" borderId="0" xfId="0" applyFont="1" applyFill="1" applyAlignment="1" applyProtection="1">
      <alignment horizontal="center"/>
    </xf>
    <xf numFmtId="0" fontId="6" fillId="5" borderId="3" xfId="0" applyFont="1" applyFill="1" applyBorder="1" applyAlignment="1" applyProtection="1">
      <alignment horizontal="center"/>
    </xf>
    <xf numFmtId="0" fontId="6" fillId="11" borderId="1" xfId="0" applyFont="1" applyFill="1" applyBorder="1" applyAlignment="1" applyProtection="1">
      <alignment horizontal="center" vertical="center"/>
    </xf>
    <xf numFmtId="166" fontId="7" fillId="3" borderId="8" xfId="1" applyNumberFormat="1" applyFont="1" applyFill="1" applyBorder="1" applyAlignment="1" applyProtection="1">
      <alignment horizontal="center" vertical="center" wrapText="1"/>
    </xf>
    <xf numFmtId="166" fontId="7" fillId="3" borderId="9" xfId="1" applyNumberFormat="1" applyFont="1" applyFill="1" applyBorder="1" applyAlignment="1" applyProtection="1">
      <alignment horizontal="center" vertical="center" wrapText="1"/>
    </xf>
    <xf numFmtId="9" fontId="7" fillId="3" borderId="1" xfId="2" applyNumberFormat="1" applyFont="1" applyFill="1" applyBorder="1" applyAlignment="1" applyProtection="1">
      <alignment horizontal="center" vertical="center" wrapText="1"/>
    </xf>
    <xf numFmtId="0" fontId="3" fillId="5" borderId="0" xfId="0" applyFont="1" applyFill="1" applyAlignment="1" applyProtection="1">
      <alignment horizontal="center"/>
    </xf>
    <xf numFmtId="166" fontId="7" fillId="3" borderId="1" xfId="1" applyNumberFormat="1" applyFont="1" applyFill="1" applyBorder="1" applyAlignment="1" applyProtection="1">
      <alignment horizontal="center" vertical="center" wrapText="1"/>
    </xf>
    <xf numFmtId="0" fontId="3" fillId="7" borderId="0" xfId="0" applyFont="1" applyFill="1" applyAlignment="1" applyProtection="1">
      <alignment horizontal="center" wrapText="1"/>
    </xf>
    <xf numFmtId="0" fontId="12" fillId="3" borderId="1" xfId="0" applyFont="1" applyFill="1" applyBorder="1" applyAlignment="1" applyProtection="1">
      <alignment horizontal="center"/>
    </xf>
    <xf numFmtId="0" fontId="13" fillId="10" borderId="1" xfId="0" applyFont="1" applyFill="1" applyBorder="1" applyAlignment="1" applyProtection="1">
      <alignment horizontal="center" vertical="center"/>
    </xf>
    <xf numFmtId="0" fontId="24" fillId="9" borderId="0" xfId="0" applyFont="1" applyFill="1" applyAlignment="1" applyProtection="1">
      <alignment horizontal="center" wrapText="1"/>
    </xf>
    <xf numFmtId="0" fontId="9" fillId="9" borderId="0" xfId="0" applyFont="1" applyFill="1" applyAlignment="1" applyProtection="1">
      <alignment horizontal="center" wrapText="1"/>
    </xf>
    <xf numFmtId="0" fontId="8" fillId="8" borderId="2" xfId="0" applyFont="1" applyFill="1" applyBorder="1" applyAlignment="1" applyProtection="1">
      <alignment horizontal="center" vertical="center"/>
    </xf>
    <xf numFmtId="0" fontId="8" fillId="8" borderId="0" xfId="0" applyFont="1" applyFill="1" applyBorder="1" applyAlignment="1" applyProtection="1">
      <alignment horizontal="center" vertical="center"/>
    </xf>
    <xf numFmtId="0" fontId="8" fillId="8" borderId="3" xfId="0" applyFont="1" applyFill="1" applyBorder="1" applyAlignment="1" applyProtection="1">
      <alignment horizontal="center" vertical="center"/>
    </xf>
    <xf numFmtId="0" fontId="8" fillId="8" borderId="0" xfId="0" applyFont="1" applyFill="1" applyAlignment="1" applyProtection="1">
      <alignment horizontal="center"/>
    </xf>
    <xf numFmtId="0" fontId="13" fillId="10" borderId="5" xfId="0" applyFont="1" applyFill="1" applyBorder="1" applyAlignment="1" applyProtection="1">
      <alignment horizontal="center" vertical="center" wrapText="1"/>
    </xf>
    <xf numFmtId="0" fontId="13" fillId="10" borderId="7" xfId="0" applyFont="1" applyFill="1" applyBorder="1" applyAlignment="1" applyProtection="1">
      <alignment horizontal="center" vertical="center" wrapText="1"/>
    </xf>
    <xf numFmtId="165" fontId="7" fillId="4" borderId="1" xfId="1" applyNumberFormat="1" applyFont="1" applyFill="1" applyBorder="1" applyAlignment="1" applyProtection="1">
      <alignment vertical="center"/>
      <protection locked="0"/>
    </xf>
    <xf numFmtId="0" fontId="20" fillId="3" borderId="1" xfId="0" applyFont="1" applyFill="1" applyBorder="1" applyAlignment="1" applyProtection="1">
      <alignment horizontal="center"/>
    </xf>
    <xf numFmtId="9" fontId="7" fillId="3" borderId="1" xfId="2" applyFont="1" applyFill="1" applyBorder="1" applyAlignment="1" applyProtection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99FF"/>
      <color rgb="FF7DC2C9"/>
      <color rgb="FF6699FF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93446</xdr:colOff>
      <xdr:row>0</xdr:row>
      <xdr:rowOff>0</xdr:rowOff>
    </xdr:from>
    <xdr:to>
      <xdr:col>9</xdr:col>
      <xdr:colOff>1265023</xdr:colOff>
      <xdr:row>0</xdr:row>
      <xdr:rowOff>1170519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DCFCC90C-D8C7-45AF-85F0-3BB2D72401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2439927" y="0"/>
          <a:ext cx="1171577" cy="117051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henasname.ir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3"/>
  <sheetViews>
    <sheetView rightToLeft="1" tabSelected="1" view="pageBreakPreview" topLeftCell="A13" zoomScaleNormal="90" zoomScaleSheetLayoutView="100" workbookViewId="0">
      <selection activeCell="H5" sqref="H5"/>
    </sheetView>
  </sheetViews>
  <sheetFormatPr defaultRowHeight="12.75" x14ac:dyDescent="0.2"/>
  <cols>
    <col min="1" max="1" width="21.5703125" style="3" customWidth="1"/>
    <col min="2" max="3" width="9.140625" style="3"/>
    <col min="4" max="4" width="10" style="3" customWidth="1"/>
    <col min="5" max="5" width="9.140625" style="3"/>
    <col min="6" max="6" width="18.28515625" style="3" customWidth="1"/>
    <col min="7" max="7" width="18.28515625" style="3" hidden="1" customWidth="1"/>
    <col min="8" max="8" width="18.28515625" style="3" customWidth="1"/>
    <col min="9" max="9" width="20.42578125" style="3" customWidth="1"/>
    <col min="10" max="10" width="20.5703125" style="3" bestFit="1" customWidth="1"/>
    <col min="11" max="11" width="11.140625" style="3" bestFit="1" customWidth="1"/>
    <col min="12" max="16384" width="9.140625" style="3"/>
  </cols>
  <sheetData>
    <row r="1" spans="1:11" s="1" customFormat="1" ht="116.25" customHeight="1" x14ac:dyDescent="0.65">
      <c r="A1" s="107" t="s">
        <v>152</v>
      </c>
      <c r="B1" s="108"/>
      <c r="C1" s="108"/>
      <c r="D1" s="108"/>
      <c r="E1" s="108"/>
      <c r="F1" s="108"/>
      <c r="G1" s="108"/>
      <c r="H1" s="108"/>
      <c r="I1" s="108"/>
      <c r="J1" s="61"/>
    </row>
    <row r="2" spans="1:11" ht="12.75" customHeight="1" x14ac:dyDescent="0.2">
      <c r="F2" s="2"/>
      <c r="G2" s="2"/>
      <c r="H2" s="2"/>
      <c r="I2" s="2"/>
      <c r="J2" s="71" t="s">
        <v>154</v>
      </c>
    </row>
    <row r="3" spans="1:11" s="21" customFormat="1" ht="22.5" x14ac:dyDescent="0.65">
      <c r="A3" s="112" t="s">
        <v>146</v>
      </c>
      <c r="B3" s="112"/>
      <c r="C3" s="112"/>
      <c r="D3" s="112"/>
      <c r="E3" s="112"/>
      <c r="F3" s="112"/>
      <c r="G3" s="63"/>
      <c r="H3" s="63"/>
      <c r="I3" s="63"/>
      <c r="J3" s="63"/>
    </row>
    <row r="4" spans="1:11" s="21" customFormat="1" ht="26.25" x14ac:dyDescent="0.55000000000000004">
      <c r="A4" s="109" t="s">
        <v>144</v>
      </c>
      <c r="B4" s="110"/>
      <c r="C4" s="110"/>
      <c r="D4" s="110"/>
      <c r="E4" s="110"/>
      <c r="F4" s="111"/>
      <c r="G4" s="64"/>
      <c r="H4" s="72">
        <v>1</v>
      </c>
      <c r="I4" s="63"/>
      <c r="J4" s="63"/>
    </row>
    <row r="5" spans="1:11" ht="25.5" customHeight="1" x14ac:dyDescent="0.2">
      <c r="A5" s="109" t="s">
        <v>155</v>
      </c>
      <c r="B5" s="110"/>
      <c r="C5" s="110"/>
      <c r="D5" s="110"/>
      <c r="E5" s="110"/>
      <c r="F5" s="111"/>
      <c r="G5" s="2"/>
      <c r="H5" s="73">
        <v>50</v>
      </c>
      <c r="I5" s="2"/>
      <c r="J5" s="2"/>
    </row>
    <row r="6" spans="1:11" ht="25.5" customHeight="1" x14ac:dyDescent="0.45">
      <c r="A6" s="77" t="s">
        <v>156</v>
      </c>
      <c r="B6" s="78" t="s">
        <v>157</v>
      </c>
      <c r="C6" s="78"/>
      <c r="D6" s="78"/>
      <c r="E6" s="78"/>
      <c r="F6" s="78"/>
      <c r="G6" s="78"/>
      <c r="H6" s="78"/>
      <c r="I6" s="2"/>
      <c r="J6" s="2"/>
    </row>
    <row r="7" spans="1:11" ht="25.5" customHeight="1" x14ac:dyDescent="0.55000000000000004">
      <c r="A7" s="21"/>
      <c r="I7" s="2"/>
      <c r="J7" s="2"/>
    </row>
    <row r="8" spans="1:11" ht="59.25" customHeight="1" x14ac:dyDescent="0.2">
      <c r="A8" s="106" t="s">
        <v>70</v>
      </c>
      <c r="B8" s="106"/>
      <c r="C8" s="106"/>
      <c r="D8" s="113" t="s">
        <v>145</v>
      </c>
      <c r="E8" s="114"/>
      <c r="F8" s="62" t="s">
        <v>153</v>
      </c>
      <c r="G8" s="59"/>
      <c r="H8" s="76" t="s">
        <v>158</v>
      </c>
    </row>
    <row r="9" spans="1:11" ht="22.5" x14ac:dyDescent="0.65">
      <c r="A9" s="81" t="s">
        <v>23</v>
      </c>
      <c r="B9" s="81"/>
      <c r="C9" s="81"/>
      <c r="D9" s="79">
        <v>5820</v>
      </c>
      <c r="E9" s="79"/>
      <c r="F9" s="58">
        <f>D9*H64</f>
        <v>12338400</v>
      </c>
      <c r="G9" s="58">
        <f>(D9/H4)</f>
        <v>5820</v>
      </c>
      <c r="H9" s="51">
        <f>((G9*H5%)+G9)*H64</f>
        <v>18507600</v>
      </c>
      <c r="I9" s="7"/>
      <c r="J9" s="7"/>
      <c r="K9" s="7"/>
    </row>
    <row r="10" spans="1:11" ht="22.5" x14ac:dyDescent="0.65">
      <c r="A10" s="81" t="s">
        <v>71</v>
      </c>
      <c r="B10" s="81"/>
      <c r="C10" s="81"/>
      <c r="D10" s="79"/>
      <c r="E10" s="79"/>
      <c r="F10" s="58">
        <f>D10*H64</f>
        <v>0</v>
      </c>
      <c r="G10" s="58">
        <f>(D10/H4)</f>
        <v>0</v>
      </c>
      <c r="H10" s="51">
        <f>((G10*H5%)+G10)*H64</f>
        <v>0</v>
      </c>
      <c r="K10" s="7"/>
    </row>
    <row r="11" spans="1:11" ht="22.5" x14ac:dyDescent="0.65">
      <c r="A11" s="81" t="s">
        <v>90</v>
      </c>
      <c r="B11" s="81"/>
      <c r="C11" s="81"/>
      <c r="D11" s="79">
        <v>3940</v>
      </c>
      <c r="E11" s="79"/>
      <c r="F11" s="58">
        <f>D11*H64</f>
        <v>8352800</v>
      </c>
      <c r="G11" s="58">
        <f>(D11/H4)</f>
        <v>3940</v>
      </c>
      <c r="H11" s="51">
        <f>((G11*H5%)+G11)*H64</f>
        <v>12529200</v>
      </c>
      <c r="K11" s="7"/>
    </row>
    <row r="12" spans="1:11" ht="22.5" x14ac:dyDescent="0.65">
      <c r="A12" s="81" t="s">
        <v>73</v>
      </c>
      <c r="B12" s="81"/>
      <c r="C12" s="81"/>
      <c r="D12" s="79"/>
      <c r="E12" s="79"/>
      <c r="F12" s="58">
        <f>D12*H64</f>
        <v>0</v>
      </c>
      <c r="G12" s="58">
        <f>(D12/H4)</f>
        <v>0</v>
      </c>
      <c r="H12" s="51">
        <f>((G12*H5%)+G12)*H64</f>
        <v>0</v>
      </c>
      <c r="K12" s="7"/>
    </row>
    <row r="13" spans="1:11" ht="22.5" x14ac:dyDescent="0.65">
      <c r="A13" s="81" t="s">
        <v>75</v>
      </c>
      <c r="B13" s="81"/>
      <c r="C13" s="81"/>
      <c r="D13" s="79"/>
      <c r="E13" s="79"/>
      <c r="F13" s="58">
        <f>D13*H64</f>
        <v>0</v>
      </c>
      <c r="G13" s="58">
        <f>(D13/H4)</f>
        <v>0</v>
      </c>
      <c r="H13" s="51">
        <f>((G13*H5%)+G13)*H64</f>
        <v>0</v>
      </c>
      <c r="K13" s="7"/>
    </row>
    <row r="14" spans="1:11" ht="22.5" x14ac:dyDescent="0.65">
      <c r="A14" s="81" t="s">
        <v>77</v>
      </c>
      <c r="B14" s="81"/>
      <c r="C14" s="81"/>
      <c r="D14" s="79"/>
      <c r="E14" s="79"/>
      <c r="F14" s="58">
        <f>D14*H64</f>
        <v>0</v>
      </c>
      <c r="G14" s="58">
        <f>(D14/H4)</f>
        <v>0</v>
      </c>
      <c r="H14" s="51">
        <f>((G14*H5%)+G14)*H64</f>
        <v>0</v>
      </c>
      <c r="K14" s="7"/>
    </row>
    <row r="15" spans="1:11" ht="22.5" x14ac:dyDescent="0.65">
      <c r="A15" s="81" t="s">
        <v>78</v>
      </c>
      <c r="B15" s="81"/>
      <c r="C15" s="81"/>
      <c r="D15" s="79"/>
      <c r="E15" s="79"/>
      <c r="F15" s="58">
        <f>D15*H64</f>
        <v>0</v>
      </c>
      <c r="G15" s="58">
        <f>(D15/H4)</f>
        <v>0</v>
      </c>
      <c r="H15" s="51">
        <f>((G15*H5%)+G15)*H64</f>
        <v>0</v>
      </c>
      <c r="K15" s="7"/>
    </row>
    <row r="16" spans="1:11" ht="22.5" x14ac:dyDescent="0.65">
      <c r="A16" s="81" t="s">
        <v>79</v>
      </c>
      <c r="B16" s="81"/>
      <c r="C16" s="81"/>
      <c r="D16" s="79"/>
      <c r="E16" s="79"/>
      <c r="F16" s="58">
        <f>D16*H64</f>
        <v>0</v>
      </c>
      <c r="G16" s="58">
        <f>(D16/H4)</f>
        <v>0</v>
      </c>
      <c r="H16" s="51">
        <f>((G16*H5%)+G16)*H64</f>
        <v>0</v>
      </c>
      <c r="K16" s="7"/>
    </row>
    <row r="17" spans="1:11" ht="22.5" x14ac:dyDescent="0.65">
      <c r="A17" s="81" t="s">
        <v>87</v>
      </c>
      <c r="B17" s="81"/>
      <c r="C17" s="81"/>
      <c r="D17" s="79"/>
      <c r="E17" s="79"/>
      <c r="F17" s="58">
        <f>D17*H64</f>
        <v>0</v>
      </c>
      <c r="G17" s="58">
        <f>(D17/H4)</f>
        <v>0</v>
      </c>
      <c r="H17" s="51">
        <f>((G17*H5%)+G17)*H64</f>
        <v>0</v>
      </c>
      <c r="K17" s="7"/>
    </row>
    <row r="18" spans="1:11" ht="22.5" x14ac:dyDescent="0.65">
      <c r="A18" s="81" t="s">
        <v>88</v>
      </c>
      <c r="B18" s="81"/>
      <c r="C18" s="81"/>
      <c r="D18" s="79"/>
      <c r="E18" s="79"/>
      <c r="F18" s="58">
        <f>D18*H64</f>
        <v>0</v>
      </c>
      <c r="G18" s="58">
        <f>(D18/H4)</f>
        <v>0</v>
      </c>
      <c r="H18" s="51">
        <f>((G18*H5%)+G18)*H64</f>
        <v>0</v>
      </c>
      <c r="K18" s="7"/>
    </row>
    <row r="19" spans="1:11" ht="22.5" x14ac:dyDescent="0.6">
      <c r="A19" s="116" t="s">
        <v>142</v>
      </c>
      <c r="B19" s="116"/>
      <c r="C19" s="116"/>
      <c r="D19" s="115"/>
      <c r="E19" s="115"/>
      <c r="F19" s="58">
        <f>D19*H64</f>
        <v>0</v>
      </c>
      <c r="G19" s="58"/>
      <c r="H19" s="51">
        <f>F19</f>
        <v>0</v>
      </c>
    </row>
    <row r="20" spans="1:11" ht="22.5" x14ac:dyDescent="0.65">
      <c r="A20" s="81" t="s">
        <v>129</v>
      </c>
      <c r="B20" s="81"/>
      <c r="C20" s="81"/>
      <c r="D20" s="79"/>
      <c r="E20" s="79"/>
      <c r="F20" s="58">
        <f>D20*H64</f>
        <v>0</v>
      </c>
      <c r="G20" s="58"/>
      <c r="H20" s="51">
        <f>F20</f>
        <v>0</v>
      </c>
      <c r="K20" s="7"/>
    </row>
    <row r="21" spans="1:11" ht="22.5" x14ac:dyDescent="0.65">
      <c r="A21" s="81" t="s">
        <v>72</v>
      </c>
      <c r="B21" s="81"/>
      <c r="C21" s="81"/>
      <c r="D21" s="80"/>
      <c r="E21" s="80"/>
      <c r="F21" s="70"/>
      <c r="G21" s="58"/>
      <c r="H21" s="51">
        <f>F21</f>
        <v>0</v>
      </c>
      <c r="K21" s="7"/>
    </row>
    <row r="22" spans="1:11" ht="22.5" x14ac:dyDescent="0.65">
      <c r="A22" s="81" t="s">
        <v>95</v>
      </c>
      <c r="B22" s="81"/>
      <c r="C22" s="81"/>
      <c r="D22" s="80"/>
      <c r="E22" s="80"/>
      <c r="F22" s="70"/>
      <c r="G22" s="58"/>
      <c r="H22" s="51">
        <f>F22</f>
        <v>0</v>
      </c>
      <c r="K22" s="7"/>
    </row>
    <row r="23" spans="1:11" ht="22.5" x14ac:dyDescent="0.65">
      <c r="A23" s="81" t="s">
        <v>74</v>
      </c>
      <c r="B23" s="81"/>
      <c r="C23" s="81"/>
      <c r="D23" s="117">
        <f>'98'!B15</f>
        <v>0</v>
      </c>
      <c r="E23" s="117"/>
      <c r="F23" s="70"/>
      <c r="G23" s="58"/>
      <c r="H23" s="51">
        <f>'98'!B17</f>
        <v>0</v>
      </c>
      <c r="I23" s="49"/>
      <c r="K23" s="7"/>
    </row>
    <row r="24" spans="1:11" ht="22.5" x14ac:dyDescent="0.65">
      <c r="A24" s="81" t="s">
        <v>76</v>
      </c>
      <c r="B24" s="81"/>
      <c r="C24" s="81"/>
      <c r="D24" s="80"/>
      <c r="E24" s="80"/>
      <c r="F24" s="70"/>
      <c r="G24" s="58"/>
      <c r="H24" s="51">
        <f>F24</f>
        <v>0</v>
      </c>
      <c r="K24" s="7"/>
    </row>
    <row r="25" spans="1:11" ht="22.5" x14ac:dyDescent="0.65">
      <c r="A25" s="81" t="s">
        <v>81</v>
      </c>
      <c r="B25" s="81"/>
      <c r="C25" s="81"/>
      <c r="D25" s="117">
        <f>'98'!B3</f>
        <v>0</v>
      </c>
      <c r="E25" s="117"/>
      <c r="F25" s="70"/>
      <c r="G25" s="58"/>
      <c r="H25" s="51">
        <f>(H9+H10+H11+H19+H20)*'98'!B3</f>
        <v>0</v>
      </c>
      <c r="K25" s="7"/>
    </row>
    <row r="26" spans="1:11" ht="22.5" x14ac:dyDescent="0.65">
      <c r="A26" s="81" t="s">
        <v>82</v>
      </c>
      <c r="B26" s="81"/>
      <c r="C26" s="81"/>
      <c r="D26" s="117">
        <f>'98'!B4</f>
        <v>0</v>
      </c>
      <c r="E26" s="117"/>
      <c r="F26" s="70"/>
      <c r="G26" s="58"/>
      <c r="H26" s="51">
        <f>(H10+H11+H9+H19+H20)*'sheet 2'!P19/100</f>
        <v>0</v>
      </c>
      <c r="K26" s="7"/>
    </row>
    <row r="27" spans="1:11" ht="22.5" x14ac:dyDescent="0.65">
      <c r="A27" s="81" t="s">
        <v>100</v>
      </c>
      <c r="B27" s="81"/>
      <c r="C27" s="81"/>
      <c r="D27" s="80"/>
      <c r="E27" s="80"/>
      <c r="F27" s="70"/>
      <c r="G27" s="58"/>
      <c r="H27" s="51">
        <f>F27</f>
        <v>0</v>
      </c>
      <c r="K27" s="7"/>
    </row>
    <row r="28" spans="1:11" ht="22.5" x14ac:dyDescent="0.2">
      <c r="A28" s="98" t="s">
        <v>83</v>
      </c>
      <c r="B28" s="98"/>
      <c r="C28" s="98"/>
      <c r="D28" s="98"/>
      <c r="E28" s="98"/>
      <c r="F28" s="75">
        <f>SUM(F9:F27)</f>
        <v>20691200</v>
      </c>
      <c r="G28" s="75"/>
      <c r="H28" s="75">
        <f>SUM(H9:H27)</f>
        <v>31036800</v>
      </c>
      <c r="K28" s="7"/>
    </row>
    <row r="29" spans="1:11" x14ac:dyDescent="0.2">
      <c r="K29" s="7"/>
    </row>
    <row r="30" spans="1:11" ht="22.5" customHeight="1" x14ac:dyDescent="0.2"/>
    <row r="31" spans="1:11" ht="23.25" customHeight="1" x14ac:dyDescent="0.65">
      <c r="A31" s="81" t="s">
        <v>151</v>
      </c>
      <c r="B31" s="81"/>
      <c r="C31" s="81"/>
      <c r="D31" s="103">
        <f>H28-F28</f>
        <v>10345600</v>
      </c>
      <c r="E31" s="103"/>
    </row>
    <row r="32" spans="1:11" ht="22.5" x14ac:dyDescent="0.65">
      <c r="A32" s="81" t="s">
        <v>99</v>
      </c>
      <c r="B32" s="81"/>
      <c r="C32" s="81"/>
      <c r="D32" s="101">
        <f>D31/F28</f>
        <v>0.5</v>
      </c>
      <c r="E32" s="101"/>
    </row>
    <row r="33" spans="1:10" ht="22.5" x14ac:dyDescent="0.6">
      <c r="A33" s="85" t="s">
        <v>148</v>
      </c>
      <c r="B33" s="85"/>
      <c r="C33" s="85"/>
      <c r="D33" s="86">
        <f>ROUND((F9+F10+F11+F19+F20)/176,0)</f>
        <v>117564</v>
      </c>
      <c r="E33" s="87"/>
    </row>
    <row r="34" spans="1:10" ht="22.5" x14ac:dyDescent="0.6">
      <c r="A34" s="85" t="s">
        <v>147</v>
      </c>
      <c r="B34" s="85"/>
      <c r="C34" s="85"/>
      <c r="D34" s="99">
        <f>ROUND((H9+H10+H11+H19+H20)/176,0)</f>
        <v>176345</v>
      </c>
      <c r="E34" s="100"/>
    </row>
    <row r="35" spans="1:10" ht="22.5" hidden="1" x14ac:dyDescent="0.6">
      <c r="A35" s="85" t="s">
        <v>149</v>
      </c>
      <c r="B35" s="85"/>
      <c r="C35" s="85"/>
      <c r="D35" s="86">
        <f>D34-D33</f>
        <v>58781</v>
      </c>
      <c r="E35" s="87"/>
    </row>
    <row r="36" spans="1:10" ht="22.5" x14ac:dyDescent="0.6">
      <c r="A36" s="85" t="s">
        <v>150</v>
      </c>
      <c r="B36" s="85"/>
      <c r="C36" s="85"/>
      <c r="D36" s="88">
        <f>(D35/D33)</f>
        <v>0.49999149399476028</v>
      </c>
      <c r="E36" s="89"/>
    </row>
    <row r="38" spans="1:10" ht="18.75" x14ac:dyDescent="0.55000000000000004">
      <c r="A38" s="77" t="s">
        <v>156</v>
      </c>
      <c r="C38" s="21"/>
      <c r="D38" s="21"/>
      <c r="E38" s="21"/>
      <c r="F38" s="21"/>
      <c r="G38" s="21"/>
      <c r="H38" s="21"/>
      <c r="I38" s="21"/>
    </row>
    <row r="40" spans="1:10" hidden="1" x14ac:dyDescent="0.2"/>
    <row r="41" spans="1:10" ht="22.5" hidden="1" x14ac:dyDescent="0.65">
      <c r="F41" s="50"/>
      <c r="G41" s="50"/>
      <c r="H41" s="50"/>
      <c r="I41" s="52"/>
      <c r="J41" s="52"/>
    </row>
    <row r="42" spans="1:10" ht="63" hidden="1" customHeight="1" x14ac:dyDescent="0.55000000000000004">
      <c r="A42" s="104" t="s">
        <v>143</v>
      </c>
      <c r="B42" s="104"/>
      <c r="C42" s="104"/>
      <c r="D42" s="104"/>
      <c r="E42" s="104"/>
      <c r="F42" s="104"/>
      <c r="G42" s="104"/>
      <c r="H42" s="104"/>
      <c r="I42" s="104"/>
      <c r="J42" s="104"/>
    </row>
    <row r="43" spans="1:10" ht="18.75" hidden="1" x14ac:dyDescent="0.55000000000000004">
      <c r="J43" s="21"/>
    </row>
    <row r="44" spans="1:10" ht="18.75" hidden="1" x14ac:dyDescent="0.55000000000000004">
      <c r="A44" s="102" t="s">
        <v>69</v>
      </c>
      <c r="B44" s="102"/>
      <c r="C44" s="65">
        <v>1</v>
      </c>
    </row>
    <row r="45" spans="1:10" hidden="1" x14ac:dyDescent="0.2"/>
    <row r="46" spans="1:10" ht="22.5" hidden="1" x14ac:dyDescent="0.65">
      <c r="A46" s="94" t="s">
        <v>91</v>
      </c>
      <c r="B46" s="95"/>
      <c r="C46" s="66" t="s">
        <v>4</v>
      </c>
      <c r="D46" s="2"/>
      <c r="E46" s="2"/>
      <c r="F46" s="105" t="s">
        <v>128</v>
      </c>
      <c r="G46" s="105"/>
      <c r="H46" s="105"/>
      <c r="I46" s="105"/>
      <c r="J46" s="105"/>
    </row>
    <row r="47" spans="1:10" ht="22.5" hidden="1" x14ac:dyDescent="0.55000000000000004">
      <c r="A47" s="4"/>
      <c r="B47" s="5">
        <f>IF(C46=A53,"1",+IF(C46=A54,2,+IF(C46=A55,"3",+IF(C46=A56,4,+IF(C46=A57,5,+IF(C46=A58,6,0))))))</f>
        <v>4</v>
      </c>
      <c r="C47" s="6"/>
      <c r="D47" s="2"/>
      <c r="E47" s="2"/>
      <c r="F47" s="19" t="s">
        <v>18</v>
      </c>
      <c r="G47" s="19"/>
      <c r="H47" s="20" t="s">
        <v>11</v>
      </c>
      <c r="I47" s="20" t="s">
        <v>12</v>
      </c>
      <c r="J47" s="20" t="s">
        <v>13</v>
      </c>
    </row>
    <row r="48" spans="1:10" ht="22.5" hidden="1" x14ac:dyDescent="0.65">
      <c r="A48" s="96" t="s">
        <v>66</v>
      </c>
      <c r="B48" s="97"/>
      <c r="C48" s="67"/>
      <c r="D48" s="2"/>
      <c r="E48" s="2"/>
      <c r="F48" s="11" t="s">
        <v>19</v>
      </c>
      <c r="G48" s="11"/>
      <c r="H48" s="68"/>
      <c r="I48" s="68"/>
      <c r="J48" s="68"/>
    </row>
    <row r="49" spans="1:10" ht="18.75" hidden="1" x14ac:dyDescent="0.55000000000000004">
      <c r="A49" s="2"/>
      <c r="B49" s="2"/>
      <c r="C49" s="6"/>
      <c r="D49" s="6"/>
      <c r="E49" s="6"/>
      <c r="F49" s="11" t="s">
        <v>20</v>
      </c>
      <c r="G49" s="11"/>
      <c r="H49" s="68"/>
      <c r="I49" s="68"/>
      <c r="J49" s="68"/>
    </row>
    <row r="50" spans="1:10" ht="18.75" hidden="1" x14ac:dyDescent="0.55000000000000004">
      <c r="A50" s="2"/>
      <c r="B50" s="2"/>
      <c r="C50" s="6"/>
      <c r="D50" s="6"/>
      <c r="E50" s="6"/>
    </row>
    <row r="51" spans="1:10" ht="22.5" hidden="1" x14ac:dyDescent="0.65">
      <c r="A51" s="82" t="s">
        <v>67</v>
      </c>
      <c r="B51" s="83"/>
      <c r="C51" s="83"/>
      <c r="D51" s="84"/>
      <c r="E51" s="8"/>
      <c r="F51" s="90" t="s">
        <v>68</v>
      </c>
      <c r="G51" s="91"/>
      <c r="H51" s="91"/>
      <c r="I51" s="91"/>
      <c r="J51" s="92"/>
    </row>
    <row r="52" spans="1:10" ht="22.5" hidden="1" x14ac:dyDescent="0.65">
      <c r="A52" s="9" t="s">
        <v>102</v>
      </c>
      <c r="B52" s="10" t="s">
        <v>11</v>
      </c>
      <c r="C52" s="10" t="s">
        <v>12</v>
      </c>
      <c r="D52" s="10" t="s">
        <v>13</v>
      </c>
      <c r="E52" s="8"/>
      <c r="F52" s="9" t="s">
        <v>15</v>
      </c>
      <c r="G52" s="9"/>
      <c r="H52" s="10" t="s">
        <v>11</v>
      </c>
      <c r="I52" s="10" t="s">
        <v>12</v>
      </c>
      <c r="J52" s="10" t="s">
        <v>13</v>
      </c>
    </row>
    <row r="53" spans="1:10" ht="22.5" hidden="1" x14ac:dyDescent="0.65">
      <c r="A53" s="11" t="s">
        <v>1</v>
      </c>
      <c r="B53" s="67"/>
      <c r="C53" s="67"/>
      <c r="D53" s="69"/>
      <c r="E53" s="12"/>
      <c r="F53" s="11" t="s">
        <v>1</v>
      </c>
      <c r="G53" s="11"/>
      <c r="H53" s="67"/>
      <c r="I53" s="67"/>
      <c r="J53" s="69"/>
    </row>
    <row r="54" spans="1:10" ht="22.5" hidden="1" x14ac:dyDescent="0.65">
      <c r="A54" s="11" t="s">
        <v>2</v>
      </c>
      <c r="B54" s="67"/>
      <c r="C54" s="67"/>
      <c r="D54" s="69"/>
      <c r="E54" s="12"/>
      <c r="F54" s="11" t="s">
        <v>2</v>
      </c>
      <c r="G54" s="11"/>
      <c r="H54" s="67"/>
      <c r="I54" s="67"/>
      <c r="J54" s="69"/>
    </row>
    <row r="55" spans="1:10" ht="22.5" hidden="1" x14ac:dyDescent="0.65">
      <c r="A55" s="11" t="s">
        <v>3</v>
      </c>
      <c r="B55" s="69"/>
      <c r="C55" s="69"/>
      <c r="D55" s="69"/>
      <c r="E55" s="12"/>
      <c r="F55" s="11" t="s">
        <v>3</v>
      </c>
      <c r="G55" s="11"/>
      <c r="H55" s="69"/>
      <c r="I55" s="69"/>
      <c r="J55" s="69"/>
    </row>
    <row r="56" spans="1:10" ht="22.5" hidden="1" x14ac:dyDescent="0.65">
      <c r="A56" s="11" t="s">
        <v>4</v>
      </c>
      <c r="B56" s="69"/>
      <c r="C56" s="69"/>
      <c r="D56" s="69"/>
      <c r="E56" s="12"/>
      <c r="F56" s="11" t="s">
        <v>4</v>
      </c>
      <c r="G56" s="11"/>
      <c r="H56" s="69"/>
      <c r="I56" s="69"/>
      <c r="J56" s="69"/>
    </row>
    <row r="57" spans="1:10" ht="22.5" hidden="1" x14ac:dyDescent="0.65">
      <c r="A57" s="11" t="s">
        <v>5</v>
      </c>
      <c r="B57" s="69"/>
      <c r="C57" s="69"/>
      <c r="D57" s="69"/>
      <c r="E57" s="12"/>
      <c r="F57" s="11" t="s">
        <v>5</v>
      </c>
      <c r="G57" s="11"/>
      <c r="H57" s="69"/>
      <c r="I57" s="69"/>
      <c r="J57" s="69"/>
    </row>
    <row r="58" spans="1:10" ht="22.5" hidden="1" x14ac:dyDescent="0.65">
      <c r="A58" s="11" t="s">
        <v>6</v>
      </c>
      <c r="B58" s="67"/>
      <c r="C58" s="67"/>
      <c r="D58" s="69"/>
      <c r="E58" s="12"/>
      <c r="F58" s="11" t="s">
        <v>6</v>
      </c>
      <c r="G58" s="11"/>
      <c r="H58" s="67"/>
      <c r="I58" s="67"/>
      <c r="J58" s="69"/>
    </row>
    <row r="59" spans="1:10" ht="22.5" hidden="1" x14ac:dyDescent="0.65">
      <c r="A59" s="13" t="s">
        <v>126</v>
      </c>
      <c r="B59" s="14">
        <f>'sheet 2'!J37</f>
        <v>0</v>
      </c>
      <c r="C59" s="14">
        <f>'sheet 2'!K37</f>
        <v>0</v>
      </c>
      <c r="D59" s="14">
        <f>'sheet 2'!L37</f>
        <v>0</v>
      </c>
      <c r="E59" s="8"/>
      <c r="F59" s="16" t="s">
        <v>127</v>
      </c>
      <c r="G59" s="16"/>
      <c r="H59" s="14">
        <f>'sheet 2'!J47</f>
        <v>0</v>
      </c>
      <c r="I59" s="14">
        <f>'sheet 2'!K47</f>
        <v>0</v>
      </c>
      <c r="J59" s="14">
        <f>'sheet 2'!L47</f>
        <v>0</v>
      </c>
    </row>
    <row r="60" spans="1:10" ht="18.75" hidden="1" x14ac:dyDescent="0.55000000000000004">
      <c r="A60" s="6"/>
      <c r="B60" s="15"/>
      <c r="C60" s="6"/>
      <c r="D60" s="6"/>
      <c r="E60" s="8"/>
    </row>
    <row r="61" spans="1:10" ht="18.75" hidden="1" x14ac:dyDescent="0.55000000000000004">
      <c r="E61" s="8"/>
    </row>
    <row r="62" spans="1:10" ht="18.75" hidden="1" x14ac:dyDescent="0.55000000000000004">
      <c r="A62" s="93"/>
      <c r="B62" s="93"/>
      <c r="C62" s="93"/>
      <c r="D62" s="93"/>
      <c r="E62" s="8"/>
    </row>
    <row r="63" spans="1:10" ht="18.75" hidden="1" x14ac:dyDescent="0.55000000000000004">
      <c r="E63" s="12"/>
    </row>
    <row r="64" spans="1:10" ht="18.75" hidden="1" x14ac:dyDescent="0.55000000000000004">
      <c r="E64" s="12"/>
      <c r="G64" s="60" t="s">
        <v>109</v>
      </c>
      <c r="H64" s="3">
        <v>2120</v>
      </c>
    </row>
    <row r="65" spans="1:5" ht="18.75" hidden="1" x14ac:dyDescent="0.55000000000000004">
      <c r="E65" s="12"/>
    </row>
    <row r="66" spans="1:5" ht="18.75" hidden="1" x14ac:dyDescent="0.55000000000000004">
      <c r="E66" s="12"/>
    </row>
    <row r="67" spans="1:5" ht="18.75" x14ac:dyDescent="0.55000000000000004">
      <c r="E67" s="12"/>
    </row>
    <row r="68" spans="1:5" ht="18.75" x14ac:dyDescent="0.55000000000000004">
      <c r="E68" s="12"/>
    </row>
    <row r="69" spans="1:5" ht="18.75" x14ac:dyDescent="0.55000000000000004">
      <c r="E69" s="8"/>
    </row>
    <row r="70" spans="1:5" ht="18.75" x14ac:dyDescent="0.55000000000000004">
      <c r="A70" s="6"/>
      <c r="B70" s="17"/>
      <c r="C70" s="17"/>
      <c r="D70" s="18"/>
      <c r="E70" s="8"/>
    </row>
    <row r="71" spans="1:5" ht="18.75" x14ac:dyDescent="0.55000000000000004">
      <c r="A71" s="6"/>
      <c r="B71" s="17"/>
      <c r="C71" s="17"/>
      <c r="D71" s="18"/>
      <c r="E71" s="8"/>
    </row>
    <row r="72" spans="1:5" ht="18.75" x14ac:dyDescent="0.55000000000000004">
      <c r="E72" s="8"/>
    </row>
    <row r="73" spans="1:5" ht="18.75" x14ac:dyDescent="0.55000000000000004">
      <c r="E73" s="8"/>
    </row>
    <row r="74" spans="1:5" ht="18.75" x14ac:dyDescent="0.55000000000000004">
      <c r="E74" s="8"/>
    </row>
    <row r="75" spans="1:5" ht="18.75" x14ac:dyDescent="0.55000000000000004">
      <c r="E75" s="8"/>
    </row>
    <row r="76" spans="1:5" ht="18.75" x14ac:dyDescent="0.55000000000000004">
      <c r="A76" s="8"/>
      <c r="B76" s="8"/>
      <c r="C76" s="8"/>
      <c r="D76" s="8"/>
      <c r="E76" s="8"/>
    </row>
    <row r="77" spans="1:5" ht="18.75" x14ac:dyDescent="0.55000000000000004">
      <c r="E77" s="8"/>
    </row>
    <row r="78" spans="1:5" ht="18.75" x14ac:dyDescent="0.55000000000000004">
      <c r="A78" s="8"/>
      <c r="B78" s="8"/>
      <c r="C78" s="8"/>
      <c r="D78" s="8"/>
      <c r="E78" s="8"/>
    </row>
    <row r="79" spans="1:5" ht="18.75" x14ac:dyDescent="0.55000000000000004">
      <c r="E79" s="8"/>
    </row>
    <row r="80" spans="1:5" ht="18.75" x14ac:dyDescent="0.55000000000000004">
      <c r="E80" s="8"/>
    </row>
    <row r="81" spans="5:5" ht="18.75" x14ac:dyDescent="0.55000000000000004">
      <c r="E81" s="8"/>
    </row>
    <row r="82" spans="5:5" ht="18.75" x14ac:dyDescent="0.55000000000000004">
      <c r="E82" s="8"/>
    </row>
    <row r="83" spans="5:5" ht="18.75" x14ac:dyDescent="0.55000000000000004">
      <c r="E83" s="8"/>
    </row>
  </sheetData>
  <sheetProtection password="CC65" sheet="1" objects="1" scenarios="1" formatCells="0" formatColumns="0" formatRows="0" insertColumns="0" insertRows="0" insertHyperlinks="0" deleteColumns="0" deleteRows="0" sort="0" autoFilter="0" pivotTables="0"/>
  <mergeCells count="66">
    <mergeCell ref="D28:E28"/>
    <mergeCell ref="A32:C32"/>
    <mergeCell ref="A24:C24"/>
    <mergeCell ref="A21:C21"/>
    <mergeCell ref="A22:C22"/>
    <mergeCell ref="D25:E25"/>
    <mergeCell ref="D22:E22"/>
    <mergeCell ref="D24:E24"/>
    <mergeCell ref="D26:E26"/>
    <mergeCell ref="D23:E23"/>
    <mergeCell ref="A8:C8"/>
    <mergeCell ref="A10:C10"/>
    <mergeCell ref="A9:C9"/>
    <mergeCell ref="A11:C11"/>
    <mergeCell ref="A1:I1"/>
    <mergeCell ref="A5:F5"/>
    <mergeCell ref="A3:F3"/>
    <mergeCell ref="A4:F4"/>
    <mergeCell ref="D8:E8"/>
    <mergeCell ref="D9:E9"/>
    <mergeCell ref="D10:E10"/>
    <mergeCell ref="D11:E11"/>
    <mergeCell ref="A62:D62"/>
    <mergeCell ref="A46:B46"/>
    <mergeCell ref="A48:B48"/>
    <mergeCell ref="D27:E27"/>
    <mergeCell ref="A27:C27"/>
    <mergeCell ref="A28:C28"/>
    <mergeCell ref="D34:E34"/>
    <mergeCell ref="A34:C34"/>
    <mergeCell ref="A31:C31"/>
    <mergeCell ref="D32:E32"/>
    <mergeCell ref="A44:B44"/>
    <mergeCell ref="D31:E31"/>
    <mergeCell ref="A42:J42"/>
    <mergeCell ref="A33:C33"/>
    <mergeCell ref="F46:J46"/>
    <mergeCell ref="D33:E33"/>
    <mergeCell ref="A51:D51"/>
    <mergeCell ref="A36:C36"/>
    <mergeCell ref="D35:E35"/>
    <mergeCell ref="D36:E36"/>
    <mergeCell ref="F51:J51"/>
    <mergeCell ref="A35:C35"/>
    <mergeCell ref="A25:C25"/>
    <mergeCell ref="A26:C26"/>
    <mergeCell ref="A17:C17"/>
    <mergeCell ref="A18:C18"/>
    <mergeCell ref="A13:C13"/>
    <mergeCell ref="A14:C14"/>
    <mergeCell ref="A15:C15"/>
    <mergeCell ref="A16:C16"/>
    <mergeCell ref="A20:C20"/>
    <mergeCell ref="A19:C19"/>
    <mergeCell ref="D12:E12"/>
    <mergeCell ref="D21:E21"/>
    <mergeCell ref="D16:E16"/>
    <mergeCell ref="A12:C12"/>
    <mergeCell ref="A23:C23"/>
    <mergeCell ref="D18:E18"/>
    <mergeCell ref="D17:E17"/>
    <mergeCell ref="D13:E13"/>
    <mergeCell ref="D15:E15"/>
    <mergeCell ref="D14:E14"/>
    <mergeCell ref="D20:E20"/>
    <mergeCell ref="D19:E19"/>
  </mergeCells>
  <dataValidations count="2">
    <dataValidation type="list" allowBlank="1" showInputMessage="1" showErrorMessage="1" errorTitle="توجه" error="آخرین مدرک تحصیلی اعمال شده در حکم کارگزینی خود را انتخاب نمایید" sqref="C46">
      <formula1>$A$53:$A$58</formula1>
    </dataValidation>
    <dataValidation type="whole" operator="greaterThan" allowBlank="1" showInputMessage="1" showErrorMessage="1" sqref="D66">
      <formula1>0</formula1>
    </dataValidation>
  </dataValidations>
  <hyperlinks>
    <hyperlink ref="J2" r:id="rId1"/>
  </hyperlinks>
  <printOptions horizontalCentered="1"/>
  <pageMargins left="0.7" right="0.7" top="0.75" bottom="0.75" header="0.3" footer="0.3"/>
  <pageSetup paperSize="9" scale="54" orientation="portrait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توجه" error="عدد مربوط به ( روز ) بین 1 تا 31 می باشد">
          <x14:formula1>
            <xm:f>'sheet 3'!$CP$2:$CP$32</xm:f>
          </x14:formula1>
          <xm:sqref>B64:B65</xm:sqref>
        </x14:dataValidation>
        <x14:dataValidation type="list" allowBlank="1" showInputMessage="1" showErrorMessage="1" errorTitle="توجه" error="عدد مربوط به (ماه) بین 1 تا 12 می باشد">
          <x14:formula1>
            <xm:f>'sheet 3'!$CQ$2:$CQ$13</xm:f>
          </x14:formula1>
          <xm:sqref>C64:C65</xm:sqref>
        </x14:dataValidation>
        <x14:dataValidation type="list" allowBlank="1" showInputMessage="1" showErrorMessage="1" errorTitle="توجه" error="عدد مربوط به سال را بصورت **13 وارد نمایید">
          <x14:formula1>
            <xm:f>'sheet 3'!$CR$2:$CR$49</xm:f>
          </x14:formula1>
          <xm:sqref>D65</xm:sqref>
        </x14:dataValidation>
        <x14:dataValidation type="list" allowBlank="1" showInputMessage="1" showErrorMessage="1" errorTitle="توجه" error="سقف مدت سرپرستی که امتیاز تعلق خواهد گرفت 10 سال می باشد">
          <x14:formula1>
            <xm:f>'sheet 3'!$CQ$1:$CQ$11</xm:f>
          </x14:formula1>
          <xm:sqref>J48</xm:sqref>
        </x14:dataValidation>
        <x14:dataValidation type="list" allowBlank="1" showInputMessage="1" showErrorMessage="1" errorTitle="توجه" error="سقف مدت مدیریتی که امتیاز تعلق خواهد گرفت 10 سال می باشد">
          <x14:formula1>
            <xm:f>'sheet 3'!$CQ$1:$CQ$11</xm:f>
          </x14:formula1>
          <xm:sqref>J49</xm:sqref>
        </x14:dataValidation>
        <x14:dataValidation type="list" allowBlank="1" showInputMessage="1" showErrorMessage="1" errorTitle="توجه" error="عدد مربوط به سال را بصورت **13 وارد نمایید">
          <x14:formula1>
            <xm:f>'sheet 3'!$CR$2:$CR$50</xm:f>
          </x14:formula1>
          <xm:sqref>D64</xm:sqref>
        </x14:dataValidation>
        <x14:dataValidation type="list" allowBlank="1" showInputMessage="1" showErrorMessage="1">
          <x14:formula1>
            <xm:f>'98'!$M$1:$M$50</xm:f>
          </x14:formula1>
          <xm:sqref>H5 H7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6"/>
  <sheetViews>
    <sheetView rightToLeft="1" topLeftCell="J7" workbookViewId="0">
      <selection activeCell="O27" sqref="O27:O28"/>
    </sheetView>
  </sheetViews>
  <sheetFormatPr defaultColWidth="9.140625" defaultRowHeight="12.75" x14ac:dyDescent="0.2"/>
  <cols>
    <col min="1" max="1" width="16.28515625" style="25" customWidth="1"/>
    <col min="2" max="4" width="9.140625" style="25"/>
    <col min="5" max="5" width="10.42578125" style="25" customWidth="1"/>
    <col min="6" max="12" width="9.140625" style="25"/>
    <col min="13" max="13" width="8.7109375" style="25" customWidth="1"/>
    <col min="14" max="14" width="9.140625" style="25"/>
    <col min="15" max="15" width="37.85546875" style="25" bestFit="1" customWidth="1"/>
    <col min="16" max="16" width="14" style="25" bestFit="1" customWidth="1"/>
    <col min="17" max="17" width="14" style="25" customWidth="1"/>
    <col min="18" max="18" width="14.85546875" style="25" customWidth="1"/>
    <col min="19" max="19" width="9.42578125" style="25" bestFit="1" customWidth="1"/>
    <col min="20" max="20" width="9.140625" style="25"/>
    <col min="21" max="21" width="12.85546875" style="25" bestFit="1" customWidth="1"/>
    <col min="22" max="22" width="11.28515625" style="25" bestFit="1" customWidth="1"/>
    <col min="23" max="16384" width="9.140625" style="25"/>
  </cols>
  <sheetData>
    <row r="1" spans="1:17" x14ac:dyDescent="0.2">
      <c r="A1" s="32" t="s">
        <v>0</v>
      </c>
      <c r="B1" s="25">
        <f>Sheet1!B47</f>
        <v>4</v>
      </c>
      <c r="E1" s="33"/>
      <c r="G1" s="34"/>
      <c r="H1" s="34"/>
      <c r="I1" s="34"/>
      <c r="J1" s="34"/>
      <c r="K1" s="34"/>
      <c r="L1" s="32"/>
    </row>
    <row r="2" spans="1:17" x14ac:dyDescent="0.2">
      <c r="A2" s="25" t="s">
        <v>1</v>
      </c>
      <c r="B2" s="35">
        <v>1</v>
      </c>
      <c r="L2" s="32"/>
      <c r="O2" s="25" t="s">
        <v>84</v>
      </c>
      <c r="P2" s="25">
        <v>1695</v>
      </c>
    </row>
    <row r="3" spans="1:17" x14ac:dyDescent="0.2">
      <c r="A3" s="25" t="s">
        <v>2</v>
      </c>
      <c r="B3" s="35">
        <v>2</v>
      </c>
      <c r="L3" s="32"/>
      <c r="O3" s="25" t="s">
        <v>85</v>
      </c>
      <c r="P3" s="25">
        <v>1797</v>
      </c>
    </row>
    <row r="4" spans="1:17" x14ac:dyDescent="0.2">
      <c r="A4" s="25" t="s">
        <v>3</v>
      </c>
      <c r="B4" s="35">
        <v>3</v>
      </c>
    </row>
    <row r="5" spans="1:17" x14ac:dyDescent="0.2">
      <c r="A5" s="25" t="s">
        <v>4</v>
      </c>
      <c r="B5" s="35">
        <v>4</v>
      </c>
      <c r="P5" s="25" t="s">
        <v>86</v>
      </c>
    </row>
    <row r="6" spans="1:17" ht="22.5" x14ac:dyDescent="0.65">
      <c r="A6" s="25" t="s">
        <v>5</v>
      </c>
      <c r="B6" s="35">
        <v>5</v>
      </c>
      <c r="O6" s="36" t="s">
        <v>23</v>
      </c>
      <c r="P6" s="25">
        <f>Sheet1!F9/'sheet 2'!P2</f>
        <v>7279.2920353982299</v>
      </c>
    </row>
    <row r="7" spans="1:17" ht="22.5" x14ac:dyDescent="0.65">
      <c r="A7" s="25" t="s">
        <v>6</v>
      </c>
      <c r="B7" s="35">
        <v>6</v>
      </c>
      <c r="O7" s="36" t="s">
        <v>71</v>
      </c>
      <c r="P7" s="25">
        <f>Sheet1!F10/'sheet 2'!P2</f>
        <v>0</v>
      </c>
    </row>
    <row r="8" spans="1:17" ht="22.5" x14ac:dyDescent="0.65">
      <c r="A8" s="32" t="str">
        <f>CHOOSE(B1,A2,A3,A4,A5,A6,A7)</f>
        <v>ليسانس</v>
      </c>
      <c r="B8" s="35">
        <f>CHOOSE(B1,1100,1200,1400,1700,2000,2300)</f>
        <v>1700</v>
      </c>
      <c r="O8" s="36" t="s">
        <v>90</v>
      </c>
      <c r="P8" s="26">
        <f>'sheet 3'!B16</f>
        <v>2100</v>
      </c>
      <c r="Q8" s="26"/>
    </row>
    <row r="9" spans="1:17" ht="22.5" x14ac:dyDescent="0.65">
      <c r="O9" s="36" t="s">
        <v>72</v>
      </c>
      <c r="P9" s="25">
        <f>Sheet1!F21</f>
        <v>0</v>
      </c>
    </row>
    <row r="10" spans="1:17" ht="22.5" x14ac:dyDescent="0.65">
      <c r="A10" s="32" t="s">
        <v>8</v>
      </c>
      <c r="B10" s="26">
        <f>Sheet1!C48</f>
        <v>0</v>
      </c>
      <c r="C10" s="25">
        <f>ROUND(B10/2,0)</f>
        <v>0</v>
      </c>
      <c r="O10" s="36" t="s">
        <v>73</v>
      </c>
      <c r="P10" s="25">
        <f>Sheet1!F12/'sheet 2'!P2</f>
        <v>0</v>
      </c>
    </row>
    <row r="11" spans="1:17" ht="22.5" x14ac:dyDescent="0.65">
      <c r="B11" s="35">
        <f>IF(C10&lt;500,C10,500)</f>
        <v>0</v>
      </c>
      <c r="O11" s="36" t="s">
        <v>74</v>
      </c>
      <c r="P11" s="25">
        <f>ROUND(Sheet1!F23/(Sheet1!F9+Sheet1!F10+Sheet1!F11+Sheet1!F12+Sheet1!F13+Sheet1!F14)*100,0)</f>
        <v>0</v>
      </c>
    </row>
    <row r="12" spans="1:17" ht="22.5" x14ac:dyDescent="0.65">
      <c r="B12" s="25" t="s">
        <v>57</v>
      </c>
      <c r="O12" s="36" t="s">
        <v>75</v>
      </c>
      <c r="P12" s="25">
        <f>Sheet1!F13/'sheet 2'!P2</f>
        <v>0</v>
      </c>
    </row>
    <row r="13" spans="1:17" ht="22.5" x14ac:dyDescent="0.65">
      <c r="A13" s="32" t="s">
        <v>9</v>
      </c>
      <c r="B13" s="25">
        <f>Sheet1!B47</f>
        <v>4</v>
      </c>
      <c r="C13" s="29"/>
      <c r="O13" s="36" t="s">
        <v>76</v>
      </c>
    </row>
    <row r="14" spans="1:17" ht="22.5" x14ac:dyDescent="0.65">
      <c r="A14" s="25" t="s">
        <v>1</v>
      </c>
      <c r="B14" s="35">
        <v>1</v>
      </c>
      <c r="O14" s="36" t="s">
        <v>77</v>
      </c>
      <c r="P14" s="25">
        <f>ROUND(Sheet1!F14/'sheet 2'!P2,0)</f>
        <v>0</v>
      </c>
    </row>
    <row r="15" spans="1:17" ht="22.5" x14ac:dyDescent="0.65">
      <c r="A15" s="25" t="s">
        <v>2</v>
      </c>
      <c r="B15" s="35">
        <v>2</v>
      </c>
      <c r="O15" s="36" t="s">
        <v>78</v>
      </c>
      <c r="P15" s="25">
        <f>Sheet1!F15/'sheet 2'!P2</f>
        <v>0</v>
      </c>
    </row>
    <row r="16" spans="1:17" ht="22.5" x14ac:dyDescent="0.65">
      <c r="A16" s="25" t="s">
        <v>3</v>
      </c>
      <c r="B16" s="35">
        <v>3</v>
      </c>
      <c r="O16" s="36" t="s">
        <v>79</v>
      </c>
      <c r="P16" s="25">
        <f>Sheet1!F16/'sheet 2'!P2</f>
        <v>0</v>
      </c>
    </row>
    <row r="17" spans="1:17" ht="22.5" x14ac:dyDescent="0.65">
      <c r="A17" s="25" t="s">
        <v>4</v>
      </c>
      <c r="B17" s="35">
        <v>4</v>
      </c>
      <c r="O17" s="36" t="s">
        <v>80</v>
      </c>
    </row>
    <row r="18" spans="1:17" ht="22.5" x14ac:dyDescent="0.65">
      <c r="A18" s="25" t="s">
        <v>5</v>
      </c>
      <c r="B18" s="35">
        <v>5</v>
      </c>
      <c r="O18" s="36" t="s">
        <v>81</v>
      </c>
      <c r="P18" s="25">
        <f>ROUND(Sheet1!F25/(Sheet1!F9+Sheet1!F10+Sheet1!F11)*100,0)</f>
        <v>0</v>
      </c>
    </row>
    <row r="19" spans="1:17" ht="22.5" x14ac:dyDescent="0.65">
      <c r="A19" s="25" t="s">
        <v>6</v>
      </c>
      <c r="B19" s="35">
        <v>6</v>
      </c>
      <c r="O19" s="36" t="s">
        <v>82</v>
      </c>
      <c r="P19" s="26">
        <f>ROUND(Sheet1!F26/(Sheet1!F9+Sheet1!F10+Sheet1!F11)*100,0)</f>
        <v>0</v>
      </c>
      <c r="Q19" s="26"/>
    </row>
    <row r="20" spans="1:17" ht="22.5" x14ac:dyDescent="0.65">
      <c r="A20" s="32" t="str">
        <f>CHOOSE(B13,A14,A15,A16,A17,A18,A19)</f>
        <v>ليسانس</v>
      </c>
      <c r="B20" s="35">
        <f>CHOOSE(B13,200,250,300,400,600,800)</f>
        <v>400</v>
      </c>
      <c r="O20" s="36" t="s">
        <v>87</v>
      </c>
      <c r="P20" s="25">
        <f>ROUND(Sheet1!F17/'sheet 2'!P2,0)</f>
        <v>0</v>
      </c>
    </row>
    <row r="21" spans="1:17" ht="22.5" x14ac:dyDescent="0.65">
      <c r="O21" s="36" t="s">
        <v>88</v>
      </c>
      <c r="P21" s="25">
        <f>ROUND(Sheet1!F18/'sheet 2'!P2,0)</f>
        <v>0</v>
      </c>
    </row>
    <row r="22" spans="1:17" ht="22.5" x14ac:dyDescent="0.65">
      <c r="J22" s="29" t="s">
        <v>11</v>
      </c>
      <c r="K22" s="29" t="s">
        <v>12</v>
      </c>
      <c r="L22" s="29" t="s">
        <v>13</v>
      </c>
      <c r="O22" s="36" t="s">
        <v>89</v>
      </c>
      <c r="P22" s="25" t="e">
        <f>Sheet1!#REF!-Sheet1!F28</f>
        <v>#REF!</v>
      </c>
    </row>
    <row r="23" spans="1:17" x14ac:dyDescent="0.2">
      <c r="K23" s="26">
        <f>J38</f>
        <v>0</v>
      </c>
      <c r="L23" s="26">
        <f>K38</f>
        <v>0</v>
      </c>
    </row>
    <row r="24" spans="1:17" x14ac:dyDescent="0.2">
      <c r="A24" s="37" t="s">
        <v>10</v>
      </c>
      <c r="B24" s="29" t="s">
        <v>11</v>
      </c>
      <c r="C24" s="29" t="s">
        <v>12</v>
      </c>
      <c r="D24" s="29" t="s">
        <v>13</v>
      </c>
      <c r="E24" s="25" t="s">
        <v>14</v>
      </c>
      <c r="G24" s="38" t="s">
        <v>28</v>
      </c>
      <c r="J24" s="39">
        <f t="shared" ref="J24:L29" si="0">B25</f>
        <v>0</v>
      </c>
      <c r="K24" s="39">
        <f t="shared" si="0"/>
        <v>0</v>
      </c>
      <c r="L24" s="39">
        <f t="shared" si="0"/>
        <v>0</v>
      </c>
      <c r="O24" s="40" t="s">
        <v>92</v>
      </c>
      <c r="P24" s="41" t="e">
        <f>Sheet1!#REF!+Sheet1!#REF!+Sheet1!#REF!+Sheet1!#REF!+Sheet1!#REF!+Sheet1!#REF!+Sheet1!#REF!+Sheet1!#REF!+Sheet1!#REF!</f>
        <v>#REF!</v>
      </c>
      <c r="Q24" s="41"/>
    </row>
    <row r="25" spans="1:17" ht="22.5" x14ac:dyDescent="0.65">
      <c r="A25" s="25" t="s">
        <v>1</v>
      </c>
      <c r="B25" s="39">
        <f>Sheet1!B53</f>
        <v>0</v>
      </c>
      <c r="C25" s="39">
        <f>Sheet1!C53</f>
        <v>0</v>
      </c>
      <c r="D25" s="39">
        <f>Sheet1!D53</f>
        <v>0</v>
      </c>
      <c r="E25" s="39">
        <f t="shared" ref="E25:E31" si="1">D25*360+C25*30+B25</f>
        <v>0</v>
      </c>
      <c r="F25" s="35">
        <f>ROUND(E25*10/360,0)</f>
        <v>0</v>
      </c>
      <c r="G25" s="38">
        <v>10</v>
      </c>
      <c r="J25" s="39">
        <f t="shared" si="0"/>
        <v>0</v>
      </c>
      <c r="K25" s="39">
        <f t="shared" si="0"/>
        <v>0</v>
      </c>
      <c r="L25" s="39">
        <f t="shared" si="0"/>
        <v>0</v>
      </c>
      <c r="O25" s="36" t="s">
        <v>104</v>
      </c>
      <c r="P25" s="41" t="e">
        <f>IF(P24&gt;=12420000,P24,12420000)</f>
        <v>#REF!</v>
      </c>
      <c r="Q25" s="41"/>
    </row>
    <row r="26" spans="1:17" ht="22.5" x14ac:dyDescent="0.65">
      <c r="A26" s="25" t="s">
        <v>2</v>
      </c>
      <c r="B26" s="39">
        <f>Sheet1!B54</f>
        <v>0</v>
      </c>
      <c r="C26" s="39">
        <f>Sheet1!C54</f>
        <v>0</v>
      </c>
      <c r="D26" s="39">
        <f>Sheet1!D54</f>
        <v>0</v>
      </c>
      <c r="E26" s="39">
        <f t="shared" si="1"/>
        <v>0</v>
      </c>
      <c r="F26" s="35">
        <f>ROUND(E26*15/360,0)</f>
        <v>0</v>
      </c>
      <c r="G26" s="38">
        <v>15</v>
      </c>
      <c r="J26" s="39">
        <f t="shared" si="0"/>
        <v>0</v>
      </c>
      <c r="K26" s="39">
        <f t="shared" si="0"/>
        <v>0</v>
      </c>
      <c r="L26" s="39">
        <f t="shared" si="0"/>
        <v>0</v>
      </c>
      <c r="O26" s="36" t="s">
        <v>101</v>
      </c>
      <c r="P26" s="25" t="e">
        <f>IF(P24&lt;12420000,12420000-P24,0)</f>
        <v>#REF!</v>
      </c>
    </row>
    <row r="27" spans="1:17" x14ac:dyDescent="0.2">
      <c r="A27" s="25" t="s">
        <v>3</v>
      </c>
      <c r="B27" s="39">
        <f>Sheet1!B55</f>
        <v>0</v>
      </c>
      <c r="C27" s="39">
        <f>Sheet1!C55</f>
        <v>0</v>
      </c>
      <c r="D27" s="39">
        <f>Sheet1!D55</f>
        <v>0</v>
      </c>
      <c r="E27" s="39">
        <f t="shared" si="1"/>
        <v>0</v>
      </c>
      <c r="F27" s="35">
        <f>ROUND(E27*20/360,0)</f>
        <v>0</v>
      </c>
      <c r="G27" s="38">
        <v>20</v>
      </c>
      <c r="J27" s="39">
        <f t="shared" si="0"/>
        <v>0</v>
      </c>
      <c r="K27" s="39">
        <f t="shared" si="0"/>
        <v>0</v>
      </c>
      <c r="L27" s="39">
        <f t="shared" si="0"/>
        <v>0</v>
      </c>
      <c r="O27" s="40" t="s">
        <v>93</v>
      </c>
      <c r="P27" s="25" t="e">
        <f>LEFT(P24,2)</f>
        <v>#REF!</v>
      </c>
    </row>
    <row r="28" spans="1:17" x14ac:dyDescent="0.2">
      <c r="A28" s="25" t="s">
        <v>4</v>
      </c>
      <c r="B28" s="39">
        <f>Sheet1!B56</f>
        <v>0</v>
      </c>
      <c r="C28" s="39">
        <f>Sheet1!C56</f>
        <v>0</v>
      </c>
      <c r="D28" s="39">
        <f>Sheet1!D56</f>
        <v>0</v>
      </c>
      <c r="E28" s="39">
        <f t="shared" si="1"/>
        <v>0</v>
      </c>
      <c r="F28" s="35">
        <f>ROUND(E28*25/360,0)</f>
        <v>0</v>
      </c>
      <c r="G28" s="38">
        <v>25</v>
      </c>
      <c r="J28" s="39">
        <f t="shared" si="0"/>
        <v>0</v>
      </c>
      <c r="K28" s="39">
        <f t="shared" si="0"/>
        <v>0</v>
      </c>
      <c r="L28" s="39">
        <f t="shared" si="0"/>
        <v>0</v>
      </c>
      <c r="P28" s="25" t="e">
        <f>(P25*22%)/1000000</f>
        <v>#REF!</v>
      </c>
    </row>
    <row r="29" spans="1:17" x14ac:dyDescent="0.2">
      <c r="A29" s="25" t="s">
        <v>5</v>
      </c>
      <c r="B29" s="39">
        <f>Sheet1!B57</f>
        <v>0</v>
      </c>
      <c r="C29" s="39">
        <f>Sheet1!C57</f>
        <v>0</v>
      </c>
      <c r="D29" s="39">
        <f>Sheet1!D57</f>
        <v>0</v>
      </c>
      <c r="E29" s="39">
        <f t="shared" si="1"/>
        <v>0</v>
      </c>
      <c r="F29" s="35">
        <f>ROUND(E29*30/360,0)</f>
        <v>0</v>
      </c>
      <c r="G29" s="38">
        <v>30</v>
      </c>
      <c r="J29" s="39">
        <f t="shared" si="0"/>
        <v>0</v>
      </c>
      <c r="K29" s="39">
        <f t="shared" si="0"/>
        <v>0</v>
      </c>
      <c r="L29" s="39">
        <f t="shared" si="0"/>
        <v>0</v>
      </c>
      <c r="O29" s="25" t="s">
        <v>94</v>
      </c>
      <c r="P29" s="25" t="e">
        <f>ROUND(11-P28,2)</f>
        <v>#REF!</v>
      </c>
    </row>
    <row r="30" spans="1:17" x14ac:dyDescent="0.2">
      <c r="A30" s="25" t="s">
        <v>6</v>
      </c>
      <c r="B30" s="39">
        <f>Sheet1!B58</f>
        <v>0</v>
      </c>
      <c r="C30" s="39">
        <f>Sheet1!C58</f>
        <v>0</v>
      </c>
      <c r="D30" s="39">
        <f>Sheet1!D58</f>
        <v>0</v>
      </c>
      <c r="E30" s="39">
        <f t="shared" si="1"/>
        <v>0</v>
      </c>
      <c r="F30" s="35">
        <f>ROUND(E30*35/360,0)</f>
        <v>0</v>
      </c>
      <c r="G30" s="38">
        <v>35</v>
      </c>
      <c r="J30" s="39"/>
      <c r="K30" s="39"/>
      <c r="L30" s="39"/>
      <c r="O30" s="25" t="s">
        <v>103</v>
      </c>
      <c r="P30" s="25" t="e">
        <f>IF(P29&gt;0,P29,0)</f>
        <v>#REF!</v>
      </c>
    </row>
    <row r="31" spans="1:17" x14ac:dyDescent="0.2">
      <c r="A31" s="37" t="s">
        <v>17</v>
      </c>
      <c r="B31" s="26"/>
      <c r="C31" s="26"/>
      <c r="D31" s="26"/>
      <c r="E31" s="39">
        <f t="shared" si="1"/>
        <v>0</v>
      </c>
      <c r="F31" s="35"/>
      <c r="J31" s="39">
        <f t="shared" ref="J31:L35" si="2">B32</f>
        <v>0</v>
      </c>
      <c r="K31" s="39">
        <f t="shared" si="2"/>
        <v>0</v>
      </c>
      <c r="L31" s="39">
        <f t="shared" si="2"/>
        <v>0</v>
      </c>
      <c r="P31" s="42"/>
      <c r="Q31" s="42"/>
    </row>
    <row r="32" spans="1:17" x14ac:dyDescent="0.2">
      <c r="A32" s="25" t="s">
        <v>1</v>
      </c>
      <c r="B32" s="26"/>
      <c r="C32" s="26"/>
      <c r="D32" s="26"/>
      <c r="E32" s="39">
        <f>D32*360+C32*30+B32</f>
        <v>0</v>
      </c>
      <c r="F32" s="35">
        <f>ROUND(E32*10/360,0)</f>
        <v>0</v>
      </c>
      <c r="G32" s="38">
        <v>10</v>
      </c>
      <c r="J32" s="39">
        <f t="shared" si="2"/>
        <v>0</v>
      </c>
      <c r="K32" s="39">
        <f t="shared" si="2"/>
        <v>0</v>
      </c>
      <c r="L32" s="39">
        <f t="shared" si="2"/>
        <v>0</v>
      </c>
    </row>
    <row r="33" spans="1:22" x14ac:dyDescent="0.2">
      <c r="A33" s="25" t="s">
        <v>2</v>
      </c>
      <c r="B33" s="26"/>
      <c r="C33" s="26"/>
      <c r="D33" s="26"/>
      <c r="E33" s="39">
        <f>D33*360+C33*30+B33</f>
        <v>0</v>
      </c>
      <c r="F33" s="35">
        <f>ROUND(E33*15/360,0)</f>
        <v>0</v>
      </c>
      <c r="G33" s="38">
        <v>15</v>
      </c>
      <c r="J33" s="39">
        <f t="shared" si="2"/>
        <v>0</v>
      </c>
      <c r="K33" s="39">
        <f t="shared" si="2"/>
        <v>0</v>
      </c>
      <c r="L33" s="39">
        <f t="shared" si="2"/>
        <v>0</v>
      </c>
    </row>
    <row r="34" spans="1:22" ht="22.5" x14ac:dyDescent="0.65">
      <c r="A34" s="25" t="s">
        <v>3</v>
      </c>
      <c r="B34" s="26"/>
      <c r="C34" s="26"/>
      <c r="D34" s="26"/>
      <c r="E34" s="39">
        <f>D34*360+C34*30+B34</f>
        <v>0</v>
      </c>
      <c r="F34" s="35">
        <f>ROUND(E34*20/360,0)</f>
        <v>0</v>
      </c>
      <c r="G34" s="38">
        <v>20</v>
      </c>
      <c r="J34" s="39">
        <f t="shared" si="2"/>
        <v>0</v>
      </c>
      <c r="K34" s="39">
        <f t="shared" si="2"/>
        <v>0</v>
      </c>
      <c r="L34" s="39">
        <f t="shared" si="2"/>
        <v>0</v>
      </c>
      <c r="O34" s="36" t="s">
        <v>23</v>
      </c>
      <c r="P34" s="41">
        <f>Sheet1!H9</f>
        <v>18507600</v>
      </c>
      <c r="Q34" s="43">
        <f>P34/1000000</f>
        <v>18.5076</v>
      </c>
      <c r="R34" s="25">
        <f>(Q34*22%)</f>
        <v>4.0716720000000004</v>
      </c>
      <c r="S34" s="44">
        <f>11-R34</f>
        <v>6.9283279999999996</v>
      </c>
      <c r="T34" s="25">
        <f>IF(P34&lt;=0,0,S34)</f>
        <v>6.9283279999999996</v>
      </c>
      <c r="U34" s="45">
        <f>T34*P34/100</f>
        <v>1282267.2329279999</v>
      </c>
      <c r="V34" s="46">
        <f>P34*T44/100</f>
        <v>772119.30470400001</v>
      </c>
    </row>
    <row r="35" spans="1:22" ht="22.5" x14ac:dyDescent="0.65">
      <c r="A35" s="25" t="s">
        <v>4</v>
      </c>
      <c r="B35" s="26"/>
      <c r="C35" s="26"/>
      <c r="D35" s="26"/>
      <c r="E35" s="39">
        <f>D35*360+C35*30+B35</f>
        <v>0</v>
      </c>
      <c r="F35" s="35">
        <f>ROUND(E35*25/360,0)</f>
        <v>0</v>
      </c>
      <c r="G35" s="38">
        <v>25</v>
      </c>
      <c r="J35" s="39">
        <f t="shared" si="2"/>
        <v>0</v>
      </c>
      <c r="K35" s="39">
        <f t="shared" si="2"/>
        <v>0</v>
      </c>
      <c r="L35" s="39">
        <f t="shared" si="2"/>
        <v>0</v>
      </c>
      <c r="O35" s="36" t="s">
        <v>71</v>
      </c>
      <c r="P35" s="41">
        <f>Sheet1!H10</f>
        <v>0</v>
      </c>
      <c r="Q35" s="43">
        <f t="shared" ref="Q35:Q42" si="3">P35/1000000</f>
        <v>0</v>
      </c>
      <c r="R35" s="25">
        <f t="shared" ref="R35:R43" si="4">(Q35*22%)</f>
        <v>0</v>
      </c>
      <c r="S35" s="44">
        <f t="shared" ref="S35:S42" si="5">11-R35</f>
        <v>11</v>
      </c>
      <c r="T35" s="25">
        <f t="shared" ref="T35:T43" si="6">IF(P35&lt;=0,0,S35)</f>
        <v>0</v>
      </c>
      <c r="U35" s="45">
        <f t="shared" ref="U35:U42" si="7">T35*P35/100</f>
        <v>0</v>
      </c>
      <c r="V35" s="45">
        <f>P35*T44/100</f>
        <v>0</v>
      </c>
    </row>
    <row r="36" spans="1:22" ht="22.5" x14ac:dyDescent="0.65">
      <c r="A36" s="25" t="s">
        <v>5</v>
      </c>
      <c r="B36" s="26"/>
      <c r="C36" s="26"/>
      <c r="D36" s="26"/>
      <c r="E36" s="39">
        <f>D36*360+C36*30+B36</f>
        <v>0</v>
      </c>
      <c r="F36" s="35">
        <f>ROUND(E36*30/360,0)</f>
        <v>0</v>
      </c>
      <c r="G36" s="38">
        <v>30</v>
      </c>
      <c r="J36" s="26">
        <f>SUM(J24:J35)</f>
        <v>0</v>
      </c>
      <c r="K36" s="26">
        <f>SUM(K23:K35)</f>
        <v>0</v>
      </c>
      <c r="O36" s="36" t="s">
        <v>90</v>
      </c>
      <c r="P36" s="41">
        <f>Sheet1!H11</f>
        <v>12529200</v>
      </c>
      <c r="Q36" s="43">
        <f t="shared" si="3"/>
        <v>12.529199999999999</v>
      </c>
      <c r="R36" s="25">
        <f t="shared" si="4"/>
        <v>2.756424</v>
      </c>
      <c r="S36" s="44">
        <f t="shared" si="5"/>
        <v>8.2435760000000009</v>
      </c>
      <c r="T36" s="25">
        <f t="shared" si="6"/>
        <v>8.2435760000000009</v>
      </c>
      <c r="U36" s="45">
        <f t="shared" si="7"/>
        <v>1032854.1241920001</v>
      </c>
      <c r="V36" s="45">
        <f>P36*T44/100</f>
        <v>522706.19596800004</v>
      </c>
    </row>
    <row r="37" spans="1:22" ht="22.5" x14ac:dyDescent="0.65">
      <c r="A37" s="25" t="s">
        <v>62</v>
      </c>
      <c r="B37" s="39">
        <f>J37</f>
        <v>0</v>
      </c>
      <c r="C37" s="39">
        <f>K37</f>
        <v>0</v>
      </c>
      <c r="D37" s="39">
        <f>L37</f>
        <v>0</v>
      </c>
      <c r="F37" s="35">
        <f>ROUND(SUM(F25:F36),0)</f>
        <v>0</v>
      </c>
      <c r="G37" s="38"/>
      <c r="J37" s="26">
        <f>MOD(J36,30)</f>
        <v>0</v>
      </c>
      <c r="K37" s="26">
        <f>MOD(K36,12)</f>
        <v>0</v>
      </c>
      <c r="L37" s="26">
        <f>SUM(L23:L35)</f>
        <v>0</v>
      </c>
      <c r="O37" s="36" t="s">
        <v>73</v>
      </c>
      <c r="P37" s="41">
        <f>Sheet1!H12</f>
        <v>0</v>
      </c>
      <c r="Q37" s="43">
        <f t="shared" si="3"/>
        <v>0</v>
      </c>
      <c r="R37" s="25">
        <f t="shared" si="4"/>
        <v>0</v>
      </c>
      <c r="S37" s="44">
        <f t="shared" si="5"/>
        <v>11</v>
      </c>
      <c r="T37" s="25">
        <f t="shared" si="6"/>
        <v>0</v>
      </c>
      <c r="U37" s="45">
        <f t="shared" si="7"/>
        <v>0</v>
      </c>
      <c r="V37" s="45">
        <f>P37*T44/100</f>
        <v>0</v>
      </c>
    </row>
    <row r="38" spans="1:22" ht="22.5" x14ac:dyDescent="0.65">
      <c r="B38" s="29"/>
      <c r="J38" s="26">
        <f>INT((J24+J25+J26+J27+J28+J29+J31+J32+J33+J34+J35)/30)</f>
        <v>0</v>
      </c>
      <c r="K38" s="26">
        <f>INT((K23+K24+K25+K26+K27+K28+K29+K31+K32+K33+K34+K35)/12)</f>
        <v>0</v>
      </c>
      <c r="M38" s="26"/>
      <c r="O38" s="36" t="s">
        <v>74</v>
      </c>
      <c r="P38" s="41">
        <f>Sheet1!H23</f>
        <v>0</v>
      </c>
      <c r="Q38" s="43">
        <f t="shared" si="3"/>
        <v>0</v>
      </c>
      <c r="R38" s="25">
        <f t="shared" si="4"/>
        <v>0</v>
      </c>
      <c r="S38" s="44">
        <f t="shared" si="5"/>
        <v>11</v>
      </c>
      <c r="T38" s="25">
        <f t="shared" si="6"/>
        <v>0</v>
      </c>
      <c r="U38" s="45">
        <f t="shared" si="7"/>
        <v>0</v>
      </c>
      <c r="V38" s="45">
        <f>P38*T44/100</f>
        <v>0</v>
      </c>
    </row>
    <row r="39" spans="1:22" ht="22.5" x14ac:dyDescent="0.65">
      <c r="J39" s="29" t="s">
        <v>11</v>
      </c>
      <c r="K39" s="39">
        <f>J48</f>
        <v>0</v>
      </c>
      <c r="L39" s="39">
        <f>K48</f>
        <v>0</v>
      </c>
      <c r="O39" s="36" t="s">
        <v>75</v>
      </c>
      <c r="P39" s="41">
        <f>Sheet1!H13</f>
        <v>0</v>
      </c>
      <c r="Q39" s="43">
        <f t="shared" si="3"/>
        <v>0</v>
      </c>
      <c r="R39" s="25">
        <f t="shared" si="4"/>
        <v>0</v>
      </c>
      <c r="S39" s="44">
        <f t="shared" si="5"/>
        <v>11</v>
      </c>
      <c r="T39" s="25">
        <f t="shared" si="6"/>
        <v>0</v>
      </c>
      <c r="U39" s="45">
        <f t="shared" si="7"/>
        <v>0</v>
      </c>
      <c r="V39" s="45">
        <f>P39*T44/100</f>
        <v>0</v>
      </c>
    </row>
    <row r="40" spans="1:22" ht="22.5" x14ac:dyDescent="0.65">
      <c r="A40" s="37" t="s">
        <v>15</v>
      </c>
      <c r="B40" s="29" t="s">
        <v>11</v>
      </c>
      <c r="C40" s="29" t="s">
        <v>12</v>
      </c>
      <c r="D40" s="29" t="s">
        <v>13</v>
      </c>
      <c r="E40" s="25" t="s">
        <v>16</v>
      </c>
      <c r="G40" s="29" t="s">
        <v>28</v>
      </c>
      <c r="J40" s="26">
        <f t="shared" ref="J40:L45" si="8">B41</f>
        <v>0</v>
      </c>
      <c r="K40" s="26">
        <f t="shared" si="8"/>
        <v>0</v>
      </c>
      <c r="L40" s="26">
        <f t="shared" si="8"/>
        <v>0</v>
      </c>
      <c r="O40" s="36" t="s">
        <v>77</v>
      </c>
      <c r="P40" s="41">
        <f>Sheet1!H14</f>
        <v>0</v>
      </c>
      <c r="Q40" s="43">
        <f t="shared" si="3"/>
        <v>0</v>
      </c>
      <c r="R40" s="25">
        <f t="shared" si="4"/>
        <v>0</v>
      </c>
      <c r="S40" s="44">
        <f t="shared" si="5"/>
        <v>11</v>
      </c>
      <c r="T40" s="25">
        <f t="shared" si="6"/>
        <v>0</v>
      </c>
      <c r="U40" s="45">
        <f t="shared" si="7"/>
        <v>0</v>
      </c>
      <c r="V40" s="45">
        <f>P40*T44/100</f>
        <v>0</v>
      </c>
    </row>
    <row r="41" spans="1:22" ht="22.5" x14ac:dyDescent="0.65">
      <c r="A41" s="25" t="s">
        <v>1</v>
      </c>
      <c r="B41" s="26">
        <f>Sheet1!H53</f>
        <v>0</v>
      </c>
      <c r="C41" s="26">
        <f>Sheet1!I53</f>
        <v>0</v>
      </c>
      <c r="D41" s="26">
        <f>Sheet1!J53</f>
        <v>0</v>
      </c>
      <c r="E41" s="39">
        <f t="shared" ref="E41:E46" si="9">D41*360+C41*30+B41</f>
        <v>0</v>
      </c>
      <c r="F41" s="47">
        <f>ROUND(E41*8/360,0)</f>
        <v>0</v>
      </c>
      <c r="G41" s="38">
        <v>8</v>
      </c>
      <c r="J41" s="26">
        <f t="shared" si="8"/>
        <v>0</v>
      </c>
      <c r="K41" s="26">
        <f t="shared" si="8"/>
        <v>0</v>
      </c>
      <c r="L41" s="26">
        <f t="shared" si="8"/>
        <v>0</v>
      </c>
      <c r="O41" s="36" t="s">
        <v>87</v>
      </c>
      <c r="P41" s="41">
        <f>Sheet1!H17</f>
        <v>0</v>
      </c>
      <c r="Q41" s="43">
        <f t="shared" si="3"/>
        <v>0</v>
      </c>
      <c r="R41" s="25">
        <f t="shared" si="4"/>
        <v>0</v>
      </c>
      <c r="S41" s="44">
        <f t="shared" si="5"/>
        <v>11</v>
      </c>
      <c r="T41" s="25">
        <f t="shared" si="6"/>
        <v>0</v>
      </c>
      <c r="U41" s="45">
        <f t="shared" si="7"/>
        <v>0</v>
      </c>
      <c r="V41" s="45">
        <f>P41*T44/100</f>
        <v>0</v>
      </c>
    </row>
    <row r="42" spans="1:22" ht="22.5" x14ac:dyDescent="0.65">
      <c r="A42" s="25" t="s">
        <v>2</v>
      </c>
      <c r="B42" s="26">
        <f>Sheet1!H54</f>
        <v>0</v>
      </c>
      <c r="C42" s="26">
        <f>Sheet1!I54</f>
        <v>0</v>
      </c>
      <c r="D42" s="26">
        <f>Sheet1!J54</f>
        <v>0</v>
      </c>
      <c r="E42" s="39">
        <f t="shared" si="9"/>
        <v>0</v>
      </c>
      <c r="F42" s="47">
        <f>ROUND(E42*10/360,0)</f>
        <v>0</v>
      </c>
      <c r="G42" s="38">
        <v>10</v>
      </c>
      <c r="J42" s="26">
        <f t="shared" si="8"/>
        <v>0</v>
      </c>
      <c r="K42" s="26">
        <f t="shared" si="8"/>
        <v>0</v>
      </c>
      <c r="L42" s="26">
        <f t="shared" si="8"/>
        <v>0</v>
      </c>
      <c r="O42" s="36" t="s">
        <v>88</v>
      </c>
      <c r="P42" s="41">
        <f>Sheet1!H18</f>
        <v>0</v>
      </c>
      <c r="Q42" s="43">
        <f t="shared" si="3"/>
        <v>0</v>
      </c>
      <c r="R42" s="25">
        <f t="shared" si="4"/>
        <v>0</v>
      </c>
      <c r="S42" s="44">
        <f t="shared" si="5"/>
        <v>11</v>
      </c>
      <c r="T42" s="25">
        <f t="shared" si="6"/>
        <v>0</v>
      </c>
      <c r="U42" s="45">
        <f t="shared" si="7"/>
        <v>0</v>
      </c>
      <c r="V42" s="45">
        <f>P42*T44/100</f>
        <v>0</v>
      </c>
    </row>
    <row r="43" spans="1:22" x14ac:dyDescent="0.2">
      <c r="A43" s="25" t="s">
        <v>3</v>
      </c>
      <c r="B43" s="26">
        <f>Sheet1!H55</f>
        <v>0</v>
      </c>
      <c r="C43" s="26">
        <f>Sheet1!I55</f>
        <v>0</v>
      </c>
      <c r="D43" s="26">
        <f>Sheet1!J55</f>
        <v>0</v>
      </c>
      <c r="E43" s="39">
        <f t="shared" si="9"/>
        <v>0</v>
      </c>
      <c r="F43" s="47">
        <f>ROUND(E43*12/360,0)</f>
        <v>0</v>
      </c>
      <c r="G43" s="38">
        <v>12</v>
      </c>
      <c r="J43" s="26">
        <f t="shared" si="8"/>
        <v>0</v>
      </c>
      <c r="K43" s="26">
        <f t="shared" si="8"/>
        <v>0</v>
      </c>
      <c r="L43" s="26">
        <f t="shared" si="8"/>
        <v>0</v>
      </c>
      <c r="P43" s="45">
        <f>SUM(P34:P42)</f>
        <v>31036800</v>
      </c>
      <c r="Q43" s="43">
        <f>P43/1000000</f>
        <v>31.036799999999999</v>
      </c>
      <c r="R43" s="25">
        <f t="shared" si="4"/>
        <v>6.8280959999999995</v>
      </c>
      <c r="S43" s="44">
        <f>11-R43</f>
        <v>4.1719040000000005</v>
      </c>
      <c r="T43" s="25">
        <f t="shared" si="6"/>
        <v>4.1719040000000005</v>
      </c>
      <c r="U43" s="46">
        <f>T43*P43/100</f>
        <v>1294825.5006720002</v>
      </c>
      <c r="V43" s="45">
        <f>SUM(V34:V42)</f>
        <v>1294825.500672</v>
      </c>
    </row>
    <row r="44" spans="1:22" x14ac:dyDescent="0.2">
      <c r="A44" s="25" t="s">
        <v>4</v>
      </c>
      <c r="B44" s="26">
        <f>Sheet1!H56</f>
        <v>0</v>
      </c>
      <c r="C44" s="26">
        <f>Sheet1!I56</f>
        <v>0</v>
      </c>
      <c r="D44" s="26">
        <f>Sheet1!J56</f>
        <v>0</v>
      </c>
      <c r="E44" s="39">
        <f t="shared" si="9"/>
        <v>0</v>
      </c>
      <c r="F44" s="47">
        <f>ROUND(E44*14/360,0)</f>
        <v>0</v>
      </c>
      <c r="G44" s="38">
        <v>14</v>
      </c>
      <c r="J44" s="26">
        <f t="shared" si="8"/>
        <v>0</v>
      </c>
      <c r="K44" s="26">
        <f t="shared" si="8"/>
        <v>0</v>
      </c>
      <c r="L44" s="26">
        <f t="shared" si="8"/>
        <v>0</v>
      </c>
      <c r="P44" s="45"/>
      <c r="S44" s="25" t="s">
        <v>107</v>
      </c>
      <c r="T44" s="25">
        <f>IF(T43&gt;0,T43,0)</f>
        <v>4.1719040000000005</v>
      </c>
    </row>
    <row r="45" spans="1:22" x14ac:dyDescent="0.2">
      <c r="A45" s="25" t="s">
        <v>5</v>
      </c>
      <c r="B45" s="26">
        <f>Sheet1!H57</f>
        <v>0</v>
      </c>
      <c r="C45" s="26">
        <f>Sheet1!I57</f>
        <v>0</v>
      </c>
      <c r="D45" s="26">
        <f>Sheet1!J57</f>
        <v>0</v>
      </c>
      <c r="E45" s="39">
        <f t="shared" si="9"/>
        <v>0</v>
      </c>
      <c r="F45" s="47">
        <f>ROUND(E45*16/360,0)</f>
        <v>0</v>
      </c>
      <c r="G45" s="38">
        <v>16</v>
      </c>
      <c r="J45" s="26">
        <f t="shared" si="8"/>
        <v>0</v>
      </c>
      <c r="K45" s="26">
        <f t="shared" si="8"/>
        <v>0</v>
      </c>
      <c r="L45" s="26">
        <f t="shared" si="8"/>
        <v>0</v>
      </c>
    </row>
    <row r="46" spans="1:22" x14ac:dyDescent="0.2">
      <c r="A46" s="25" t="s">
        <v>6</v>
      </c>
      <c r="B46" s="26">
        <f>Sheet1!H58</f>
        <v>0</v>
      </c>
      <c r="C46" s="26">
        <f>Sheet1!I58</f>
        <v>0</v>
      </c>
      <c r="D46" s="26">
        <f>Sheet1!J58</f>
        <v>0</v>
      </c>
      <c r="E46" s="39">
        <f t="shared" si="9"/>
        <v>0</v>
      </c>
      <c r="F46" s="47">
        <f>ROUND(E46*18/360,0)</f>
        <v>0</v>
      </c>
      <c r="G46" s="38">
        <v>18</v>
      </c>
      <c r="J46" s="26">
        <f>SUM(J40:J45)</f>
        <v>0</v>
      </c>
      <c r="K46" s="26">
        <f>SUM(K39:K45)</f>
        <v>0</v>
      </c>
    </row>
    <row r="47" spans="1:22" x14ac:dyDescent="0.2">
      <c r="A47" s="25" t="s">
        <v>63</v>
      </c>
      <c r="B47" s="26">
        <f>J47</f>
        <v>0</v>
      </c>
      <c r="C47" s="26">
        <f>K47</f>
        <v>0</v>
      </c>
      <c r="D47" s="26">
        <f>L47</f>
        <v>0</v>
      </c>
      <c r="F47" s="47">
        <f>ROUND(SUM(F41:F46),0)</f>
        <v>0</v>
      </c>
      <c r="J47" s="26">
        <f>MOD(J46,30)</f>
        <v>0</v>
      </c>
      <c r="K47" s="26">
        <f>MOD(K46,12)</f>
        <v>0</v>
      </c>
      <c r="L47" s="26">
        <f>SUM(L39:L45)</f>
        <v>0</v>
      </c>
    </row>
    <row r="48" spans="1:22" x14ac:dyDescent="0.2">
      <c r="J48" s="26">
        <f>INT((J40+J41+J42+J43+J44+J45)/30)</f>
        <v>0</v>
      </c>
      <c r="K48" s="26">
        <f>INT((K39+K40+K41+K42+K43+K44+K45)/12)</f>
        <v>0</v>
      </c>
    </row>
    <row r="49" spans="1:10" x14ac:dyDescent="0.2">
      <c r="A49" s="32" t="s">
        <v>18</v>
      </c>
      <c r="B49" s="29" t="s">
        <v>11</v>
      </c>
      <c r="C49" s="29" t="s">
        <v>12</v>
      </c>
      <c r="D49" s="29" t="s">
        <v>13</v>
      </c>
      <c r="E49" s="25" t="s">
        <v>21</v>
      </c>
    </row>
    <row r="50" spans="1:10" x14ac:dyDescent="0.2">
      <c r="A50" s="25" t="s">
        <v>19</v>
      </c>
      <c r="B50" s="39">
        <f>Sheet1!H48</f>
        <v>0</v>
      </c>
      <c r="C50" s="39">
        <f>Sheet1!I48</f>
        <v>0</v>
      </c>
      <c r="D50" s="39">
        <f>Sheet1!J48</f>
        <v>0</v>
      </c>
      <c r="E50" s="39">
        <f>D50*360+C50*30+B50</f>
        <v>0</v>
      </c>
      <c r="F50" s="31">
        <f>E50/360*0.01</f>
        <v>0</v>
      </c>
      <c r="G50" s="25">
        <f>IF(F50&lt;=0.1,F50,0.1)</f>
        <v>0</v>
      </c>
      <c r="H50" s="26">
        <f>'sheet 3'!B11</f>
        <v>2100</v>
      </c>
      <c r="I50" s="47">
        <f>ROUND(H50*G50,0)</f>
        <v>0</v>
      </c>
    </row>
    <row r="51" spans="1:10" x14ac:dyDescent="0.2">
      <c r="A51" s="25" t="s">
        <v>20</v>
      </c>
      <c r="B51" s="39">
        <f>Sheet1!H49</f>
        <v>0</v>
      </c>
      <c r="C51" s="39">
        <f>Sheet1!I49</f>
        <v>0</v>
      </c>
      <c r="D51" s="39">
        <f>Sheet1!J49</f>
        <v>0</v>
      </c>
      <c r="E51" s="39">
        <f>D51*360+C51*30+B51</f>
        <v>0</v>
      </c>
      <c r="F51" s="31">
        <f>E51/360*0.02</f>
        <v>0</v>
      </c>
      <c r="G51" s="25">
        <f>IF(F51&lt;=0.2,F51,0.2)</f>
        <v>0</v>
      </c>
      <c r="H51" s="26">
        <f>'sheet 3'!B11</f>
        <v>2100</v>
      </c>
      <c r="I51" s="47">
        <f>ROUND(H51*G51,0)</f>
        <v>0</v>
      </c>
      <c r="J51" s="26"/>
    </row>
    <row r="52" spans="1:10" x14ac:dyDescent="0.2">
      <c r="G52" s="25">
        <f>SUM(G50:G51)</f>
        <v>0</v>
      </c>
      <c r="I52" s="26">
        <f>SUM(I50:I51)</f>
        <v>0</v>
      </c>
      <c r="J52" s="31">
        <f>IF(G52&gt;=0/2,20%,G52)</f>
        <v>0.2</v>
      </c>
    </row>
    <row r="53" spans="1:10" x14ac:dyDescent="0.2">
      <c r="A53" s="25" t="s">
        <v>24</v>
      </c>
      <c r="B53" s="25" t="s">
        <v>25</v>
      </c>
      <c r="C53" s="25" t="s">
        <v>28</v>
      </c>
      <c r="D53" s="25" t="s">
        <v>27</v>
      </c>
    </row>
    <row r="54" spans="1:10" x14ac:dyDescent="0.2">
      <c r="B54" s="25">
        <v>5</v>
      </c>
      <c r="C54" s="48" t="s">
        <v>30</v>
      </c>
      <c r="D54" s="29">
        <v>400</v>
      </c>
      <c r="F54" s="25" t="s">
        <v>11</v>
      </c>
      <c r="G54" s="25" t="s">
        <v>12</v>
      </c>
      <c r="H54" s="25" t="s">
        <v>13</v>
      </c>
    </row>
    <row r="55" spans="1:10" x14ac:dyDescent="0.2">
      <c r="B55" s="25">
        <v>10</v>
      </c>
      <c r="C55" s="48" t="s">
        <v>31</v>
      </c>
      <c r="D55" s="29">
        <v>500</v>
      </c>
      <c r="E55" s="25" t="s">
        <v>56</v>
      </c>
    </row>
    <row r="56" spans="1:10" x14ac:dyDescent="0.2">
      <c r="B56" s="25">
        <v>15</v>
      </c>
      <c r="C56" s="48" t="s">
        <v>32</v>
      </c>
      <c r="D56" s="29">
        <v>600</v>
      </c>
    </row>
    <row r="57" spans="1:10" x14ac:dyDescent="0.2">
      <c r="B57" s="25">
        <v>20</v>
      </c>
      <c r="C57" s="48" t="s">
        <v>33</v>
      </c>
      <c r="D57" s="29">
        <v>700</v>
      </c>
      <c r="E57" s="25" t="s">
        <v>54</v>
      </c>
    </row>
    <row r="58" spans="1:10" x14ac:dyDescent="0.2">
      <c r="B58" s="25">
        <v>25</v>
      </c>
      <c r="C58" s="48" t="s">
        <v>34</v>
      </c>
      <c r="D58" s="29">
        <v>800</v>
      </c>
    </row>
    <row r="59" spans="1:10" x14ac:dyDescent="0.2">
      <c r="B59" s="25">
        <v>30</v>
      </c>
      <c r="C59" s="48" t="s">
        <v>35</v>
      </c>
      <c r="D59" s="29">
        <v>900</v>
      </c>
    </row>
    <row r="60" spans="1:10" x14ac:dyDescent="0.2">
      <c r="B60" s="25">
        <v>35</v>
      </c>
      <c r="C60" s="48" t="s">
        <v>36</v>
      </c>
      <c r="D60" s="29">
        <v>1000</v>
      </c>
    </row>
    <row r="61" spans="1:10" x14ac:dyDescent="0.2">
      <c r="B61" s="25">
        <v>40</v>
      </c>
      <c r="C61" s="48" t="s">
        <v>37</v>
      </c>
      <c r="D61" s="29">
        <v>1100</v>
      </c>
    </row>
    <row r="62" spans="1:10" x14ac:dyDescent="0.2">
      <c r="B62" s="25">
        <v>45</v>
      </c>
      <c r="C62" s="48" t="s">
        <v>38</v>
      </c>
      <c r="D62" s="29">
        <v>1200</v>
      </c>
    </row>
    <row r="63" spans="1:10" x14ac:dyDescent="0.2">
      <c r="B63" s="25">
        <v>50</v>
      </c>
      <c r="C63" s="48" t="s">
        <v>39</v>
      </c>
      <c r="D63" s="29">
        <v>1300</v>
      </c>
    </row>
    <row r="64" spans="1:10" x14ac:dyDescent="0.2">
      <c r="B64" s="25">
        <v>60</v>
      </c>
      <c r="C64" s="48" t="s">
        <v>40</v>
      </c>
      <c r="D64" s="29">
        <v>1500</v>
      </c>
    </row>
    <row r="65" spans="1:6" x14ac:dyDescent="0.2">
      <c r="B65" s="25" t="s">
        <v>26</v>
      </c>
      <c r="C65" s="48" t="s">
        <v>41</v>
      </c>
      <c r="D65" s="29">
        <v>1550</v>
      </c>
    </row>
    <row r="66" spans="1:6" x14ac:dyDescent="0.2">
      <c r="B66" s="25" t="s">
        <v>25</v>
      </c>
      <c r="C66" s="25">
        <v>0</v>
      </c>
      <c r="D66" s="29">
        <v>0</v>
      </c>
      <c r="E66" s="25" t="s">
        <v>29</v>
      </c>
      <c r="F66" s="25" t="s">
        <v>55</v>
      </c>
    </row>
    <row r="67" spans="1:6" x14ac:dyDescent="0.2">
      <c r="E67" s="26">
        <f>MAX(C66:D66)</f>
        <v>0</v>
      </c>
      <c r="F67" s="26">
        <f>ROUND(MIN(C66:D66)*0.25,0)</f>
        <v>0</v>
      </c>
    </row>
    <row r="68" spans="1:6" x14ac:dyDescent="0.2">
      <c r="A68" s="25" t="s">
        <v>24</v>
      </c>
      <c r="B68" s="35">
        <f>E67+F67</f>
        <v>0</v>
      </c>
    </row>
    <row r="72" spans="1:6" x14ac:dyDescent="0.2">
      <c r="A72" s="25" t="s">
        <v>42</v>
      </c>
      <c r="B72" s="26">
        <f>D72+D73</f>
        <v>0</v>
      </c>
      <c r="E72" s="25" t="s">
        <v>60</v>
      </c>
    </row>
    <row r="73" spans="1:6" x14ac:dyDescent="0.2">
      <c r="A73" s="25" t="s">
        <v>43</v>
      </c>
      <c r="B73" s="26">
        <f>D73</f>
        <v>0</v>
      </c>
      <c r="E73" s="25" t="s">
        <v>43</v>
      </c>
    </row>
    <row r="74" spans="1:6" x14ac:dyDescent="0.2">
      <c r="A74" s="28" t="s">
        <v>59</v>
      </c>
      <c r="B74" s="35">
        <f>B72-B73</f>
        <v>0</v>
      </c>
    </row>
    <row r="78" spans="1:6" x14ac:dyDescent="0.2">
      <c r="A78" s="25" t="s">
        <v>42</v>
      </c>
      <c r="B78" s="26">
        <f>B72</f>
        <v>0</v>
      </c>
    </row>
    <row r="79" spans="1:6" x14ac:dyDescent="0.2">
      <c r="A79" s="25" t="s">
        <v>44</v>
      </c>
      <c r="B79" s="26">
        <f>D79*E79</f>
        <v>0</v>
      </c>
      <c r="D79" s="25">
        <v>137200</v>
      </c>
      <c r="E79" s="27"/>
    </row>
    <row r="80" spans="1:6" x14ac:dyDescent="0.2">
      <c r="A80" s="25" t="s">
        <v>45</v>
      </c>
      <c r="B80" s="26">
        <f>E80*D80</f>
        <v>0</v>
      </c>
      <c r="D80" s="25">
        <v>27440</v>
      </c>
      <c r="F80" s="25" t="s">
        <v>61</v>
      </c>
    </row>
    <row r="81" spans="1:6" x14ac:dyDescent="0.2">
      <c r="A81" s="25" t="s">
        <v>46</v>
      </c>
      <c r="B81" s="35">
        <f>SUM(B78:B80)</f>
        <v>0</v>
      </c>
    </row>
    <row r="86" spans="1:6" x14ac:dyDescent="0.2">
      <c r="A86" s="25" t="s">
        <v>47</v>
      </c>
      <c r="B86" s="26">
        <f>D86*600</f>
        <v>0</v>
      </c>
      <c r="D86" s="26">
        <f>E86*810</f>
        <v>0</v>
      </c>
      <c r="E86" s="39"/>
    </row>
    <row r="87" spans="1:6" x14ac:dyDescent="0.2">
      <c r="A87" s="25" t="s">
        <v>48</v>
      </c>
      <c r="B87" s="26">
        <f>D87*600</f>
        <v>0</v>
      </c>
      <c r="D87" s="26">
        <f>E87*210</f>
        <v>0</v>
      </c>
      <c r="E87" s="39"/>
      <c r="F87" s="25" t="s">
        <v>58</v>
      </c>
    </row>
    <row r="88" spans="1:6" x14ac:dyDescent="0.2">
      <c r="A88" s="25" t="s">
        <v>43</v>
      </c>
      <c r="B88" s="26">
        <f>B73</f>
        <v>0</v>
      </c>
    </row>
    <row r="89" spans="1:6" x14ac:dyDescent="0.2">
      <c r="A89" s="25" t="s">
        <v>49</v>
      </c>
    </row>
    <row r="93" spans="1:6" x14ac:dyDescent="0.2">
      <c r="A93" s="25" t="s">
        <v>50</v>
      </c>
      <c r="B93" s="26"/>
    </row>
    <row r="94" spans="1:6" x14ac:dyDescent="0.2">
      <c r="A94" s="25" t="s">
        <v>51</v>
      </c>
    </row>
    <row r="95" spans="1:6" x14ac:dyDescent="0.2">
      <c r="A95" s="25" t="s">
        <v>65</v>
      </c>
      <c r="B95" s="26"/>
    </row>
    <row r="96" spans="1:6" x14ac:dyDescent="0.2">
      <c r="A96" s="25" t="s">
        <v>64</v>
      </c>
    </row>
  </sheetData>
  <sheetProtection password="CC65" sheet="1" objects="1" scenarios="1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CR50"/>
  <sheetViews>
    <sheetView rightToLeft="1" workbookViewId="0">
      <selection activeCell="C44" sqref="C44"/>
    </sheetView>
  </sheetViews>
  <sheetFormatPr defaultColWidth="9.140625" defaultRowHeight="12.75" x14ac:dyDescent="0.2"/>
  <cols>
    <col min="1" max="1" width="16" style="25" customWidth="1"/>
    <col min="2" max="2" width="13.28515625" style="25" customWidth="1"/>
    <col min="3" max="3" width="9.140625" style="25"/>
    <col min="4" max="4" width="13" style="25" customWidth="1"/>
    <col min="5" max="5" width="10.7109375" style="25" customWidth="1"/>
    <col min="6" max="6" width="13" style="25" customWidth="1"/>
    <col min="7" max="16384" width="9.140625" style="25"/>
  </cols>
  <sheetData>
    <row r="1" spans="1:96" x14ac:dyDescent="0.2">
      <c r="CP1" s="25" t="s">
        <v>11</v>
      </c>
      <c r="CQ1" s="25">
        <v>0</v>
      </c>
      <c r="CR1" s="25" t="s">
        <v>13</v>
      </c>
    </row>
    <row r="2" spans="1:96" x14ac:dyDescent="0.2">
      <c r="CP2" s="25">
        <v>1</v>
      </c>
      <c r="CQ2" s="25">
        <v>1</v>
      </c>
      <c r="CR2" s="25">
        <v>1350</v>
      </c>
    </row>
    <row r="3" spans="1:96" x14ac:dyDescent="0.2">
      <c r="A3" s="25" t="s">
        <v>23</v>
      </c>
      <c r="B3" s="26">
        <f>Sheet1!D9</f>
        <v>5820</v>
      </c>
      <c r="CP3" s="25">
        <v>2</v>
      </c>
      <c r="CQ3" s="25">
        <v>2</v>
      </c>
      <c r="CR3" s="25">
        <v>1351</v>
      </c>
    </row>
    <row r="4" spans="1:96" x14ac:dyDescent="0.2">
      <c r="A4" s="25" t="s">
        <v>22</v>
      </c>
      <c r="B4" s="26">
        <f>Sheet1!D10</f>
        <v>0</v>
      </c>
      <c r="G4" s="26"/>
      <c r="CP4" s="25">
        <v>3</v>
      </c>
      <c r="CQ4" s="25">
        <v>3</v>
      </c>
      <c r="CR4" s="25">
        <v>1352</v>
      </c>
    </row>
    <row r="5" spans="1:96" x14ac:dyDescent="0.2">
      <c r="B5" s="26"/>
      <c r="CP5" s="25">
        <v>4</v>
      </c>
      <c r="CQ5" s="25">
        <v>4</v>
      </c>
      <c r="CR5" s="25">
        <v>1353</v>
      </c>
    </row>
    <row r="6" spans="1:96" x14ac:dyDescent="0.2">
      <c r="A6" s="25" t="s">
        <v>0</v>
      </c>
      <c r="B6" s="26">
        <f>'sheet 2'!B8</f>
        <v>1700</v>
      </c>
      <c r="CP6" s="25">
        <v>5</v>
      </c>
      <c r="CQ6" s="25">
        <v>5</v>
      </c>
      <c r="CR6" s="25">
        <v>1354</v>
      </c>
    </row>
    <row r="7" spans="1:96" x14ac:dyDescent="0.2">
      <c r="A7" s="25" t="s">
        <v>8</v>
      </c>
      <c r="B7" s="26">
        <f>'sheet 2'!B11</f>
        <v>0</v>
      </c>
      <c r="CP7" s="25">
        <v>6</v>
      </c>
      <c r="CQ7" s="25">
        <v>6</v>
      </c>
      <c r="CR7" s="25">
        <v>1355</v>
      </c>
    </row>
    <row r="8" spans="1:96" x14ac:dyDescent="0.2">
      <c r="A8" s="25" t="s">
        <v>9</v>
      </c>
      <c r="B8" s="26">
        <f>'sheet 2'!B20</f>
        <v>400</v>
      </c>
      <c r="CP8" s="25">
        <v>7</v>
      </c>
      <c r="CQ8" s="25">
        <v>7</v>
      </c>
      <c r="CR8" s="25">
        <v>1356</v>
      </c>
    </row>
    <row r="9" spans="1:96" x14ac:dyDescent="0.2">
      <c r="A9" s="25" t="s">
        <v>10</v>
      </c>
      <c r="B9" s="26">
        <f>ROUND('sheet 2'!F37,0)</f>
        <v>0</v>
      </c>
      <c r="CP9" s="25">
        <v>8</v>
      </c>
      <c r="CQ9" s="25">
        <v>8</v>
      </c>
      <c r="CR9" s="25">
        <v>1357</v>
      </c>
    </row>
    <row r="10" spans="1:96" x14ac:dyDescent="0.2">
      <c r="A10" s="25" t="s">
        <v>15</v>
      </c>
      <c r="B10" s="26">
        <f>ROUND('sheet 2'!F47,0)</f>
        <v>0</v>
      </c>
      <c r="CP10" s="25">
        <v>9</v>
      </c>
      <c r="CQ10" s="25">
        <v>9</v>
      </c>
      <c r="CR10" s="25">
        <v>1358</v>
      </c>
    </row>
    <row r="11" spans="1:96" x14ac:dyDescent="0.2">
      <c r="A11" s="25" t="s">
        <v>7</v>
      </c>
      <c r="B11" s="26">
        <f>SUM(B6:B10)</f>
        <v>2100</v>
      </c>
      <c r="CP11" s="25">
        <v>10</v>
      </c>
      <c r="CQ11" s="25">
        <v>10</v>
      </c>
      <c r="CR11" s="25">
        <v>1359</v>
      </c>
    </row>
    <row r="12" spans="1:96" x14ac:dyDescent="0.2">
      <c r="A12" s="25" t="s">
        <v>96</v>
      </c>
      <c r="B12" s="26">
        <f>IF(B11&gt;F15,F16,B11)</f>
        <v>2100</v>
      </c>
      <c r="CP12" s="25">
        <v>11</v>
      </c>
      <c r="CQ12" s="25">
        <v>11</v>
      </c>
      <c r="CR12" s="25">
        <v>1360</v>
      </c>
    </row>
    <row r="13" spans="1:96" x14ac:dyDescent="0.2">
      <c r="A13" s="25" t="s">
        <v>18</v>
      </c>
      <c r="B13" s="26">
        <f>'sheet 2'!I50</f>
        <v>0</v>
      </c>
      <c r="C13" s="27" t="s">
        <v>52</v>
      </c>
      <c r="D13" s="25" t="s">
        <v>106</v>
      </c>
      <c r="E13" s="28" t="s">
        <v>124</v>
      </c>
      <c r="CP13" s="25">
        <v>12</v>
      </c>
      <c r="CQ13" s="25">
        <v>12</v>
      </c>
      <c r="CR13" s="25">
        <v>1361</v>
      </c>
    </row>
    <row r="14" spans="1:96" x14ac:dyDescent="0.2">
      <c r="A14" s="25" t="s">
        <v>20</v>
      </c>
      <c r="B14" s="26">
        <f>'sheet 2'!I51</f>
        <v>0</v>
      </c>
      <c r="C14" s="26">
        <f>B13+B14</f>
        <v>0</v>
      </c>
      <c r="D14" s="25">
        <f>IF(C14&lt;=E14,C14,E14)</f>
        <v>0</v>
      </c>
      <c r="E14" s="25">
        <f>B11*0.2</f>
        <v>420</v>
      </c>
      <c r="F14" s="25" t="s">
        <v>105</v>
      </c>
      <c r="CP14" s="25">
        <v>13</v>
      </c>
      <c r="CR14" s="25">
        <v>1362</v>
      </c>
    </row>
    <row r="15" spans="1:96" x14ac:dyDescent="0.2">
      <c r="A15" s="25" t="s">
        <v>53</v>
      </c>
      <c r="B15" s="26">
        <f>B11+D14</f>
        <v>2100</v>
      </c>
      <c r="F15" s="29">
        <f>ROUND((B3+B4)*0.75,0)</f>
        <v>4365</v>
      </c>
      <c r="CP15" s="25">
        <v>14</v>
      </c>
      <c r="CR15" s="25">
        <v>1363</v>
      </c>
    </row>
    <row r="16" spans="1:96" x14ac:dyDescent="0.2">
      <c r="A16" s="25" t="s">
        <v>125</v>
      </c>
      <c r="B16" s="26">
        <f>IF(B15&gt;F15,F15,B15)</f>
        <v>2100</v>
      </c>
      <c r="CP16" s="25">
        <v>15</v>
      </c>
      <c r="CR16" s="25">
        <v>1364</v>
      </c>
    </row>
    <row r="17" spans="1:96" x14ac:dyDescent="0.2">
      <c r="A17" s="25" t="s">
        <v>97</v>
      </c>
      <c r="B17" s="30">
        <f>ROUND(B16*B18,0)</f>
        <v>2100</v>
      </c>
      <c r="CP17" s="25">
        <v>16</v>
      </c>
      <c r="CR17" s="25">
        <v>1365</v>
      </c>
    </row>
    <row r="18" spans="1:96" x14ac:dyDescent="0.2">
      <c r="A18" s="25" t="s">
        <v>98</v>
      </c>
      <c r="B18" s="31">
        <f>Sheet1!C44</f>
        <v>1</v>
      </c>
      <c r="CP18" s="25">
        <v>17</v>
      </c>
      <c r="CR18" s="25">
        <v>1366</v>
      </c>
    </row>
    <row r="19" spans="1:96" x14ac:dyDescent="0.2">
      <c r="CP19" s="25">
        <v>18</v>
      </c>
      <c r="CR19" s="25">
        <v>1367</v>
      </c>
    </row>
    <row r="20" spans="1:96" x14ac:dyDescent="0.2">
      <c r="CP20" s="25">
        <v>19</v>
      </c>
      <c r="CR20" s="25">
        <v>1368</v>
      </c>
    </row>
    <row r="21" spans="1:96" x14ac:dyDescent="0.2">
      <c r="CP21" s="25">
        <v>20</v>
      </c>
      <c r="CR21" s="25">
        <v>1369</v>
      </c>
    </row>
    <row r="22" spans="1:96" x14ac:dyDescent="0.2">
      <c r="CP22" s="25">
        <v>21</v>
      </c>
      <c r="CR22" s="25">
        <v>1370</v>
      </c>
    </row>
    <row r="23" spans="1:96" x14ac:dyDescent="0.2">
      <c r="CP23" s="25">
        <v>22</v>
      </c>
      <c r="CR23" s="25">
        <v>1371</v>
      </c>
    </row>
    <row r="24" spans="1:96" x14ac:dyDescent="0.2">
      <c r="CP24" s="25">
        <v>23</v>
      </c>
      <c r="CR24" s="25">
        <v>1372</v>
      </c>
    </row>
    <row r="25" spans="1:96" x14ac:dyDescent="0.2">
      <c r="CP25" s="25">
        <v>24</v>
      </c>
      <c r="CR25" s="25">
        <v>1373</v>
      </c>
    </row>
    <row r="26" spans="1:96" x14ac:dyDescent="0.2">
      <c r="CP26" s="25">
        <v>25</v>
      </c>
      <c r="CR26" s="25">
        <v>1374</v>
      </c>
    </row>
    <row r="27" spans="1:96" x14ac:dyDescent="0.2">
      <c r="CP27" s="25">
        <v>26</v>
      </c>
      <c r="CR27" s="25">
        <v>1375</v>
      </c>
    </row>
    <row r="28" spans="1:96" x14ac:dyDescent="0.2">
      <c r="CP28" s="25">
        <v>27</v>
      </c>
      <c r="CR28" s="25">
        <v>1376</v>
      </c>
    </row>
    <row r="29" spans="1:96" x14ac:dyDescent="0.2">
      <c r="CP29" s="25">
        <v>28</v>
      </c>
      <c r="CR29" s="25">
        <v>1377</v>
      </c>
    </row>
    <row r="30" spans="1:96" x14ac:dyDescent="0.2">
      <c r="CP30" s="25">
        <v>29</v>
      </c>
      <c r="CR30" s="25">
        <v>1378</v>
      </c>
    </row>
    <row r="31" spans="1:96" x14ac:dyDescent="0.2">
      <c r="CP31" s="25">
        <v>30</v>
      </c>
      <c r="CR31" s="25">
        <v>1379</v>
      </c>
    </row>
    <row r="32" spans="1:96" x14ac:dyDescent="0.2">
      <c r="CP32" s="25">
        <v>31</v>
      </c>
      <c r="CR32" s="25">
        <v>1380</v>
      </c>
    </row>
    <row r="33" spans="96:96" x14ac:dyDescent="0.2">
      <c r="CR33" s="25">
        <v>1381</v>
      </c>
    </row>
    <row r="34" spans="96:96" x14ac:dyDescent="0.2">
      <c r="CR34" s="25">
        <v>1382</v>
      </c>
    </row>
    <row r="35" spans="96:96" x14ac:dyDescent="0.2">
      <c r="CR35" s="25">
        <v>1383</v>
      </c>
    </row>
    <row r="36" spans="96:96" x14ac:dyDescent="0.2">
      <c r="CR36" s="25">
        <v>1384</v>
      </c>
    </row>
    <row r="37" spans="96:96" x14ac:dyDescent="0.2">
      <c r="CR37" s="25">
        <v>1385</v>
      </c>
    </row>
    <row r="38" spans="96:96" x14ac:dyDescent="0.2">
      <c r="CR38" s="25">
        <v>1386</v>
      </c>
    </row>
    <row r="39" spans="96:96" x14ac:dyDescent="0.2">
      <c r="CR39" s="25">
        <v>1387</v>
      </c>
    </row>
    <row r="40" spans="96:96" x14ac:dyDescent="0.2">
      <c r="CR40" s="25">
        <v>1388</v>
      </c>
    </row>
    <row r="41" spans="96:96" x14ac:dyDescent="0.2">
      <c r="CR41" s="25">
        <v>1389</v>
      </c>
    </row>
    <row r="42" spans="96:96" x14ac:dyDescent="0.2">
      <c r="CR42" s="25">
        <v>1390</v>
      </c>
    </row>
    <row r="43" spans="96:96" x14ac:dyDescent="0.2">
      <c r="CR43" s="25">
        <v>1391</v>
      </c>
    </row>
    <row r="44" spans="96:96" x14ac:dyDescent="0.2">
      <c r="CR44" s="25">
        <v>1392</v>
      </c>
    </row>
    <row r="45" spans="96:96" x14ac:dyDescent="0.2">
      <c r="CR45" s="25">
        <v>1393</v>
      </c>
    </row>
    <row r="46" spans="96:96" x14ac:dyDescent="0.2">
      <c r="CR46" s="25">
        <v>1394</v>
      </c>
    </row>
    <row r="47" spans="96:96" x14ac:dyDescent="0.2">
      <c r="CR47" s="25">
        <v>1395</v>
      </c>
    </row>
    <row r="48" spans="96:96" x14ac:dyDescent="0.2">
      <c r="CR48" s="25">
        <v>1396</v>
      </c>
    </row>
    <row r="49" spans="96:96" x14ac:dyDescent="0.2">
      <c r="CR49" s="25">
        <v>1397</v>
      </c>
    </row>
    <row r="50" spans="96:96" x14ac:dyDescent="0.2">
      <c r="CR50" s="25">
        <v>1398</v>
      </c>
    </row>
  </sheetData>
  <sheetProtection password="CC65" sheet="1" objects="1" scenarios="1" selectLockedCells="1" selectUnlockedCells="1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rightToLeft="1" workbookViewId="0">
      <selection sqref="A1:XFD1048576"/>
    </sheetView>
  </sheetViews>
  <sheetFormatPr defaultRowHeight="12.75" x14ac:dyDescent="0.2"/>
  <cols>
    <col min="1" max="1" width="41.42578125" style="22" bestFit="1" customWidth="1"/>
    <col min="2" max="2" width="15.7109375" style="22" bestFit="1" customWidth="1"/>
    <col min="3" max="3" width="13.7109375" style="22" bestFit="1" customWidth="1"/>
    <col min="4" max="4" width="12.85546875" style="22" bestFit="1" customWidth="1"/>
    <col min="5" max="5" width="11.28515625" style="22" bestFit="1" customWidth="1"/>
    <col min="6" max="16384" width="9.140625" style="22"/>
  </cols>
  <sheetData>
    <row r="1" spans="1:13" x14ac:dyDescent="0.2">
      <c r="B1" s="22" t="s">
        <v>130</v>
      </c>
      <c r="C1" s="22" t="s">
        <v>109</v>
      </c>
      <c r="D1" s="22" t="s">
        <v>108</v>
      </c>
      <c r="G1" s="22" t="s">
        <v>140</v>
      </c>
      <c r="M1" s="74">
        <v>0.01</v>
      </c>
    </row>
    <row r="2" spans="1:13" x14ac:dyDescent="0.2">
      <c r="A2" s="22" t="s">
        <v>23</v>
      </c>
      <c r="B2" s="22">
        <f>Sheet1!F9/Sheet1!D9</f>
        <v>2120</v>
      </c>
      <c r="C2" s="22">
        <v>2120</v>
      </c>
      <c r="D2" s="22">
        <v>1797</v>
      </c>
      <c r="E2" s="22">
        <f>Sheet1!D9*1797</f>
        <v>10458540</v>
      </c>
      <c r="F2" s="22">
        <f>Sheet1!F9-'98'!E2</f>
        <v>1879860</v>
      </c>
      <c r="G2" s="53">
        <f>ROUND(F2/E2,4)</f>
        <v>0.1797</v>
      </c>
      <c r="M2" s="74">
        <v>0.02</v>
      </c>
    </row>
    <row r="3" spans="1:13" x14ac:dyDescent="0.2">
      <c r="A3" s="22" t="s">
        <v>81</v>
      </c>
      <c r="B3" s="23">
        <f>ROUND(Sheet1!F25/(Sheet1!F9+Sheet1!F10+Sheet1!F11+Sheet1!F19+Sheet1!F20),2)</f>
        <v>0</v>
      </c>
      <c r="M3" s="74">
        <v>0.03</v>
      </c>
    </row>
    <row r="4" spans="1:13" x14ac:dyDescent="0.2">
      <c r="A4" s="22" t="s">
        <v>82</v>
      </c>
      <c r="B4" s="23">
        <f>ROUND(Sheet1!F26/(Sheet1!F10+Sheet1!F11+Sheet1!F9+Sheet1!F19+Sheet1!F20),2)</f>
        <v>0</v>
      </c>
      <c r="M4" s="74">
        <v>0.04</v>
      </c>
    </row>
    <row r="5" spans="1:13" x14ac:dyDescent="0.2">
      <c r="A5" s="22" t="s">
        <v>110</v>
      </c>
      <c r="B5" s="24">
        <f>Sheet1!H9+Sheet1!H10+Sheet1!H11+Sheet1!H12+Sheet1!H23+Sheet1!H13+Sheet1!H14+Sheet1!H17+Sheet1!H18</f>
        <v>31036800</v>
      </c>
      <c r="M5" s="74">
        <v>0.05</v>
      </c>
    </row>
    <row r="6" spans="1:13" x14ac:dyDescent="0.2">
      <c r="A6" s="22" t="s">
        <v>119</v>
      </c>
      <c r="B6" s="24">
        <f>IF(B5&lt;15630000,15630000-B5,0)</f>
        <v>0</v>
      </c>
      <c r="M6" s="74">
        <v>0.06</v>
      </c>
    </row>
    <row r="7" spans="1:13" x14ac:dyDescent="0.2">
      <c r="A7" s="22" t="s">
        <v>120</v>
      </c>
      <c r="B7" s="24">
        <f>(SUM(Sheet1!H9:H26))-Sheet1!F28</f>
        <v>10345600</v>
      </c>
      <c r="M7" s="74">
        <v>7.0000000000000007E-2</v>
      </c>
    </row>
    <row r="8" spans="1:13" x14ac:dyDescent="0.2">
      <c r="A8" s="22" t="s">
        <v>121</v>
      </c>
      <c r="B8" s="24">
        <f>IF(B7&lt;=4400000,4400000-B7,0)</f>
        <v>0</v>
      </c>
      <c r="M8" s="74">
        <v>0.08</v>
      </c>
    </row>
    <row r="9" spans="1:13" x14ac:dyDescent="0.2">
      <c r="A9" s="22" t="s">
        <v>122</v>
      </c>
      <c r="B9" s="24">
        <f>IF(B8&gt;0,B6+B8,B6)</f>
        <v>0</v>
      </c>
      <c r="M9" s="74">
        <v>0.09</v>
      </c>
    </row>
    <row r="10" spans="1:13" x14ac:dyDescent="0.2">
      <c r="A10" s="22" t="s">
        <v>123</v>
      </c>
      <c r="B10" s="24">
        <f>IF(B9&gt;B6,B9,B6)</f>
        <v>0</v>
      </c>
      <c r="M10" s="74">
        <v>0.1</v>
      </c>
    </row>
    <row r="11" spans="1:13" x14ac:dyDescent="0.2">
      <c r="A11" s="22" t="s">
        <v>113</v>
      </c>
      <c r="B11" s="24">
        <f>'sheet 3'!B17*'98'!C2</f>
        <v>4452000</v>
      </c>
      <c r="M11" s="74">
        <v>0.11</v>
      </c>
    </row>
    <row r="12" spans="1:13" x14ac:dyDescent="0.2">
      <c r="A12" s="22" t="s">
        <v>114</v>
      </c>
      <c r="B12" s="24">
        <f>Sheet1!D11*'98'!C2</f>
        <v>8352800</v>
      </c>
      <c r="M12" s="74">
        <v>0.12</v>
      </c>
    </row>
    <row r="13" spans="1:13" x14ac:dyDescent="0.2">
      <c r="A13" s="22" t="s">
        <v>112</v>
      </c>
      <c r="B13" s="24">
        <f>IF(B11&gt;=B12,B11,B12)</f>
        <v>8352800</v>
      </c>
      <c r="M13" s="74">
        <v>0.13</v>
      </c>
    </row>
    <row r="14" spans="1:13" x14ac:dyDescent="0.2">
      <c r="A14" s="22" t="s">
        <v>115</v>
      </c>
      <c r="B14" s="24">
        <f>Sheet1!F9+Sheet1!F10+Sheet1!F11+Sheet1!F12+Sheet1!F13+Sheet1!F14+Sheet1!F17+Sheet1!F18+Sheet1!F19+Sheet1!F20</f>
        <v>20691200</v>
      </c>
      <c r="M14" s="74">
        <v>0.14000000000000001</v>
      </c>
    </row>
    <row r="15" spans="1:13" x14ac:dyDescent="0.2">
      <c r="A15" s="22" t="s">
        <v>116</v>
      </c>
      <c r="B15" s="23">
        <f>ROUND(Sheet1!F23/'98'!B14,2)</f>
        <v>0</v>
      </c>
      <c r="M15" s="74">
        <v>0.15</v>
      </c>
    </row>
    <row r="16" spans="1:13" x14ac:dyDescent="0.2">
      <c r="A16" s="22" t="s">
        <v>117</v>
      </c>
      <c r="B16" s="24">
        <f>Sheet1!H9+Sheet1!H10+Sheet1!H11+Sheet1!H12+Sheet1!H13+Sheet1!H14+Sheet1!H17+Sheet1!H18+Sheet1!H19+Sheet1!H20</f>
        <v>31036800</v>
      </c>
      <c r="M16" s="74">
        <v>0.16</v>
      </c>
    </row>
    <row r="17" spans="1:13" x14ac:dyDescent="0.2">
      <c r="A17" s="22" t="s">
        <v>118</v>
      </c>
      <c r="B17" s="24">
        <f>B16*B15</f>
        <v>0</v>
      </c>
      <c r="M17" s="74">
        <v>0.17</v>
      </c>
    </row>
    <row r="18" spans="1:13" x14ac:dyDescent="0.2">
      <c r="A18" s="22" t="s">
        <v>111</v>
      </c>
      <c r="B18" s="24"/>
      <c r="M18" s="74">
        <v>0.18</v>
      </c>
    </row>
    <row r="19" spans="1:13" x14ac:dyDescent="0.2">
      <c r="M19" s="74">
        <v>0.19</v>
      </c>
    </row>
    <row r="20" spans="1:13" x14ac:dyDescent="0.2">
      <c r="A20" s="22" t="s">
        <v>131</v>
      </c>
      <c r="B20" s="22" t="s">
        <v>132</v>
      </c>
      <c r="C20" s="22" t="s">
        <v>134</v>
      </c>
      <c r="D20" s="22" t="s">
        <v>139</v>
      </c>
      <c r="E20" s="22" t="s">
        <v>141</v>
      </c>
      <c r="M20" s="74">
        <v>0.2</v>
      </c>
    </row>
    <row r="21" spans="1:13" ht="18.75" x14ac:dyDescent="0.55000000000000004">
      <c r="A21" s="22" t="s">
        <v>23</v>
      </c>
      <c r="B21" s="54">
        <f>D2*Sheet1!D9</f>
        <v>10458540</v>
      </c>
      <c r="C21" s="55">
        <f>Sheet1!D9*'98'!C2</f>
        <v>12338400</v>
      </c>
      <c r="D21" s="56">
        <f>B21*G2</f>
        <v>1879399.638</v>
      </c>
      <c r="E21" s="56">
        <f>B21+D21</f>
        <v>12337939.638</v>
      </c>
      <c r="M21" s="74">
        <v>0.21</v>
      </c>
    </row>
    <row r="22" spans="1:13" ht="18.75" x14ac:dyDescent="0.55000000000000004">
      <c r="A22" s="22" t="s">
        <v>71</v>
      </c>
      <c r="B22" s="54">
        <f>D2*Sheet1!D10</f>
        <v>0</v>
      </c>
      <c r="C22" s="55">
        <f>C2*Sheet1!D10</f>
        <v>0</v>
      </c>
      <c r="D22" s="56">
        <f>B22*G2</f>
        <v>0</v>
      </c>
      <c r="E22" s="56">
        <f>B22+D22</f>
        <v>0</v>
      </c>
      <c r="M22" s="74">
        <v>0.22</v>
      </c>
    </row>
    <row r="23" spans="1:13" ht="18.75" x14ac:dyDescent="0.55000000000000004">
      <c r="A23" s="22" t="s">
        <v>90</v>
      </c>
      <c r="B23" s="54">
        <f>D2*Sheet1!D11</f>
        <v>7080180</v>
      </c>
      <c r="C23" s="55">
        <f>C2*Sheet1!D11</f>
        <v>8352800</v>
      </c>
      <c r="D23" s="56">
        <f>B23*G2</f>
        <v>1272308.3459999999</v>
      </c>
      <c r="E23" s="56">
        <f t="shared" ref="E23:E29" si="0">B23+D23</f>
        <v>8352488.3459999999</v>
      </c>
      <c r="M23" s="74">
        <v>0.23</v>
      </c>
    </row>
    <row r="24" spans="1:13" ht="18.75" x14ac:dyDescent="0.55000000000000004">
      <c r="A24" s="22" t="s">
        <v>73</v>
      </c>
      <c r="B24" s="54">
        <f>D2*Sheet1!D12</f>
        <v>0</v>
      </c>
      <c r="C24" s="55">
        <f>C2*Sheet1!D12</f>
        <v>0</v>
      </c>
      <c r="D24" s="56">
        <f>B24*G2</f>
        <v>0</v>
      </c>
      <c r="E24" s="56">
        <f t="shared" si="0"/>
        <v>0</v>
      </c>
      <c r="M24" s="74">
        <v>0.24</v>
      </c>
    </row>
    <row r="25" spans="1:13" ht="18.75" x14ac:dyDescent="0.55000000000000004">
      <c r="A25" s="22" t="s">
        <v>75</v>
      </c>
      <c r="B25" s="54">
        <f>D2*Sheet1!D13</f>
        <v>0</v>
      </c>
      <c r="C25" s="55">
        <f>C2*Sheet1!D13</f>
        <v>0</v>
      </c>
      <c r="D25" s="56">
        <f>B25*G2</f>
        <v>0</v>
      </c>
      <c r="E25" s="56">
        <f t="shared" si="0"/>
        <v>0</v>
      </c>
      <c r="M25" s="74">
        <v>0.25</v>
      </c>
    </row>
    <row r="26" spans="1:13" ht="18.75" x14ac:dyDescent="0.55000000000000004">
      <c r="A26" s="22" t="s">
        <v>77</v>
      </c>
      <c r="B26" s="24">
        <f>D2*Sheet1!D14</f>
        <v>0</v>
      </c>
      <c r="C26" s="55">
        <f>C2*Sheet1!D14</f>
        <v>0</v>
      </c>
      <c r="D26" s="56">
        <f>B26*G2</f>
        <v>0</v>
      </c>
      <c r="E26" s="56">
        <f t="shared" si="0"/>
        <v>0</v>
      </c>
      <c r="M26" s="74">
        <v>0.26</v>
      </c>
    </row>
    <row r="27" spans="1:13" ht="18.75" x14ac:dyDescent="0.55000000000000004">
      <c r="A27" s="22" t="s">
        <v>87</v>
      </c>
      <c r="B27" s="54">
        <f>D2*Sheet1!D17</f>
        <v>0</v>
      </c>
      <c r="C27" s="55">
        <f>C2*Sheet1!D17</f>
        <v>0</v>
      </c>
      <c r="D27" s="56">
        <f>B27*G2</f>
        <v>0</v>
      </c>
      <c r="E27" s="56">
        <f t="shared" si="0"/>
        <v>0</v>
      </c>
      <c r="M27" s="74">
        <v>0.27</v>
      </c>
    </row>
    <row r="28" spans="1:13" ht="18.75" x14ac:dyDescent="0.55000000000000004">
      <c r="A28" s="22" t="s">
        <v>88</v>
      </c>
      <c r="B28" s="54">
        <f>D2*Sheet1!D18</f>
        <v>0</v>
      </c>
      <c r="C28" s="55">
        <f>C2*Sheet1!D18</f>
        <v>0</v>
      </c>
      <c r="D28" s="56">
        <f>B28*G2</f>
        <v>0</v>
      </c>
      <c r="E28" s="56">
        <f t="shared" si="0"/>
        <v>0</v>
      </c>
      <c r="M28" s="74">
        <v>0.28000000000000003</v>
      </c>
    </row>
    <row r="29" spans="1:13" ht="18.75" x14ac:dyDescent="0.55000000000000004">
      <c r="A29" s="22" t="s">
        <v>74</v>
      </c>
      <c r="B29" s="54">
        <f>SUM(B21:B28)*B15</f>
        <v>0</v>
      </c>
      <c r="C29" s="57"/>
      <c r="D29" s="56">
        <f>B29*G2</f>
        <v>0</v>
      </c>
      <c r="E29" s="56">
        <f t="shared" si="0"/>
        <v>0</v>
      </c>
      <c r="M29" s="74">
        <v>0.28999999999999998</v>
      </c>
    </row>
    <row r="30" spans="1:13" ht="18.75" x14ac:dyDescent="0.55000000000000004">
      <c r="A30" s="22" t="s">
        <v>133</v>
      </c>
      <c r="B30" s="57">
        <f>SUM(B21:B28)</f>
        <v>17538720</v>
      </c>
      <c r="C30" s="55">
        <f>SUM(C21:C28)</f>
        <v>20691200</v>
      </c>
      <c r="D30" s="56">
        <f>SUM(D21:D29)</f>
        <v>3151707.9840000002</v>
      </c>
      <c r="M30" s="74">
        <v>0.3</v>
      </c>
    </row>
    <row r="31" spans="1:13" ht="18.75" x14ac:dyDescent="0.55000000000000004">
      <c r="A31" s="22" t="s">
        <v>135</v>
      </c>
      <c r="B31" s="57">
        <f>C30-B30</f>
        <v>3152480</v>
      </c>
      <c r="C31" s="55"/>
      <c r="M31" s="74">
        <v>0.31</v>
      </c>
    </row>
    <row r="32" spans="1:13" ht="18.75" x14ac:dyDescent="0.55000000000000004">
      <c r="A32" s="22" t="s">
        <v>136</v>
      </c>
      <c r="B32" s="57">
        <f>4400000-B31</f>
        <v>1247520</v>
      </c>
      <c r="C32" s="55"/>
      <c r="M32" s="74">
        <v>0.32</v>
      </c>
    </row>
    <row r="33" spans="1:13" ht="18.75" x14ac:dyDescent="0.55000000000000004">
      <c r="B33" s="57">
        <f>IF(B32&gt;0,B32,0)</f>
        <v>1247520</v>
      </c>
      <c r="C33" s="55"/>
      <c r="M33" s="74">
        <v>0.33</v>
      </c>
    </row>
    <row r="34" spans="1:13" ht="18.75" x14ac:dyDescent="0.55000000000000004">
      <c r="A34" s="22" t="s">
        <v>137</v>
      </c>
      <c r="B34" s="56">
        <f>ROUND(B33/C2,0)</f>
        <v>588</v>
      </c>
      <c r="C34" s="55"/>
      <c r="M34" s="74">
        <v>0.34</v>
      </c>
    </row>
    <row r="35" spans="1:13" ht="18.75" x14ac:dyDescent="0.55000000000000004">
      <c r="A35" s="22" t="s">
        <v>138</v>
      </c>
      <c r="B35" s="57">
        <f>ROUND(D30/D2,0)</f>
        <v>1754</v>
      </c>
      <c r="C35" s="55"/>
      <c r="M35" s="74">
        <v>0.35</v>
      </c>
    </row>
    <row r="36" spans="1:13" ht="18.75" x14ac:dyDescent="0.55000000000000004">
      <c r="B36" s="55"/>
      <c r="C36" s="55"/>
      <c r="M36" s="74">
        <v>0.36</v>
      </c>
    </row>
    <row r="37" spans="1:13" ht="18.75" x14ac:dyDescent="0.55000000000000004">
      <c r="B37" s="55"/>
      <c r="C37" s="55"/>
      <c r="M37" s="74">
        <v>0.37</v>
      </c>
    </row>
    <row r="38" spans="1:13" x14ac:dyDescent="0.2">
      <c r="M38" s="74">
        <v>0.38</v>
      </c>
    </row>
    <row r="39" spans="1:13" x14ac:dyDescent="0.2">
      <c r="M39" s="74">
        <v>0.39</v>
      </c>
    </row>
    <row r="40" spans="1:13" x14ac:dyDescent="0.2">
      <c r="M40" s="74">
        <v>0.4</v>
      </c>
    </row>
    <row r="41" spans="1:13" x14ac:dyDescent="0.2">
      <c r="M41" s="74">
        <v>0.41</v>
      </c>
    </row>
    <row r="42" spans="1:13" x14ac:dyDescent="0.2">
      <c r="M42" s="74">
        <v>0.42</v>
      </c>
    </row>
    <row r="43" spans="1:13" x14ac:dyDescent="0.2">
      <c r="M43" s="74">
        <v>0.43</v>
      </c>
    </row>
    <row r="44" spans="1:13" x14ac:dyDescent="0.2">
      <c r="M44" s="74">
        <v>0.44</v>
      </c>
    </row>
    <row r="45" spans="1:13" x14ac:dyDescent="0.2">
      <c r="M45" s="74">
        <v>0.45</v>
      </c>
    </row>
    <row r="46" spans="1:13" x14ac:dyDescent="0.2">
      <c r="M46" s="74">
        <v>0.46</v>
      </c>
    </row>
    <row r="47" spans="1:13" x14ac:dyDescent="0.2">
      <c r="M47" s="74">
        <v>0.47</v>
      </c>
    </row>
    <row r="48" spans="1:13" x14ac:dyDescent="0.2">
      <c r="M48" s="74">
        <v>0.48</v>
      </c>
    </row>
    <row r="49" spans="13:13" x14ac:dyDescent="0.2">
      <c r="M49" s="74">
        <v>0.49</v>
      </c>
    </row>
    <row r="50" spans="13:13" x14ac:dyDescent="0.2">
      <c r="M50" s="74">
        <v>0.5</v>
      </c>
    </row>
  </sheetData>
  <sheetProtection password="CC65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 2</vt:lpstr>
      <vt:lpstr>sheet 3</vt:lpstr>
      <vt:lpstr>98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fazel</dc:creator>
  <cp:lastModifiedBy>مهسا فرجادفر</cp:lastModifiedBy>
  <cp:lastPrinted>2018-06-11T09:19:12Z</cp:lastPrinted>
  <dcterms:created xsi:type="dcterms:W3CDTF">2009-05-18T04:20:18Z</dcterms:created>
  <dcterms:modified xsi:type="dcterms:W3CDTF">2020-02-25T09:30:48Z</dcterms:modified>
</cp:coreProperties>
</file>