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Nr0hooA0z3LYlJqAQmgXD/yPPHs98F8pOFbMBfdaRs2n/RY7THAzeL3EfyiU+/8cozJ0hh5ESp+sPGQx8cQwmA==" workbookSaltValue="5tOwnRbBCMfoeDVMcWVCNg==" workbookSpinCount="100000" lockStructure="1"/>
  <bookViews>
    <workbookView xWindow="0" yWindow="0" windowWidth="20490" windowHeight="7650"/>
  </bookViews>
  <sheets>
    <sheet name="ورود اطلاعات" sheetId="1" r:id="rId1"/>
    <sheet name="حکم کارگزینی" sheetId="8" r:id="rId2"/>
    <sheet name="حکم" sheetId="4" state="veryHidden" r:id="rId3"/>
    <sheet name="فیش حقوقی" sheetId="3" r:id="rId4"/>
    <sheet name="محاسبات" sheetId="2" state="veryHidden" r:id="rId5"/>
    <sheet name="راهنما" sheetId="6" r:id="rId6"/>
    <sheet name="حق شاغل و مالیات" sheetId="7" r:id="rId7"/>
  </sheets>
  <definedNames>
    <definedName name="_xlnm.Print_Area" localSheetId="6">'حق شاغل و مالیات'!$B$1:$W$24</definedName>
    <definedName name="_xlnm.Print_Area" localSheetId="3">'فیش حقوقی'!$A$1:$E$19</definedName>
    <definedName name="_xlnm.Print_Area" localSheetId="0">'ورود اطلاعات'!$A$1:$F$26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8" l="1"/>
  <c r="E7" i="8" l="1"/>
  <c r="A13" i="8" l="1"/>
  <c r="E6" i="8"/>
  <c r="A10" i="8"/>
  <c r="D9" i="8" l="1"/>
  <c r="G9" i="8"/>
  <c r="G24" i="8"/>
  <c r="G27" i="8"/>
  <c r="G28" i="8"/>
  <c r="F19" i="8"/>
  <c r="F21" i="8"/>
  <c r="F22" i="8"/>
  <c r="F23" i="8"/>
  <c r="F24" i="8"/>
  <c r="F26" i="8"/>
  <c r="F27" i="8"/>
  <c r="F28" i="8"/>
  <c r="F29" i="8"/>
  <c r="F32" i="8"/>
  <c r="F33" i="8"/>
  <c r="F34" i="8"/>
  <c r="C111" i="2" l="1"/>
  <c r="E111" i="2"/>
  <c r="G111" i="2"/>
  <c r="C112" i="2"/>
  <c r="E112" i="2"/>
  <c r="G112" i="2"/>
  <c r="G124" i="2" s="1"/>
  <c r="C113" i="2"/>
  <c r="E113" i="2"/>
  <c r="G113" i="2"/>
  <c r="C114" i="2"/>
  <c r="E114" i="2"/>
  <c r="G114" i="2"/>
  <c r="C115" i="2"/>
  <c r="E115" i="2"/>
  <c r="G115" i="2"/>
  <c r="C116" i="2"/>
  <c r="E116" i="2"/>
  <c r="G116" i="2"/>
  <c r="C117" i="2"/>
  <c r="E117" i="2"/>
  <c r="G117" i="2"/>
  <c r="C118" i="2"/>
  <c r="E118" i="2"/>
  <c r="G118" i="2"/>
  <c r="C119" i="2"/>
  <c r="E119" i="2"/>
  <c r="G119" i="2"/>
  <c r="C120" i="2"/>
  <c r="E120" i="2"/>
  <c r="G120" i="2"/>
  <c r="C121" i="2"/>
  <c r="C124" i="2" s="1"/>
  <c r="E121" i="2"/>
  <c r="G121" i="2"/>
  <c r="C122" i="2"/>
  <c r="E122" i="2"/>
  <c r="G122" i="2"/>
  <c r="C123" i="2"/>
  <c r="E123" i="2"/>
  <c r="G123" i="2"/>
  <c r="E124" i="2"/>
  <c r="E125" i="2"/>
  <c r="E14" i="4"/>
  <c r="H125" i="2" l="1"/>
  <c r="D62" i="2"/>
  <c r="C62" i="2"/>
  <c r="E53" i="2"/>
  <c r="R4" i="2"/>
  <c r="Q4" i="2"/>
  <c r="E14" i="7"/>
  <c r="E13" i="7"/>
  <c r="F72" i="2"/>
  <c r="F71" i="2"/>
  <c r="E72" i="2"/>
  <c r="E71" i="2"/>
  <c r="B129" i="2" l="1"/>
  <c r="C129" i="2"/>
  <c r="F127" i="2"/>
  <c r="E62" i="2"/>
  <c r="E15" i="7"/>
  <c r="G71" i="2"/>
  <c r="H71" i="2" s="1"/>
  <c r="G72" i="2"/>
  <c r="H72" i="2" s="1"/>
  <c r="E16" i="7" s="1"/>
  <c r="C24" i="7" l="1"/>
  <c r="B24" i="7"/>
  <c r="C22" i="7"/>
  <c r="B22" i="7"/>
  <c r="C21" i="7"/>
  <c r="B21" i="7"/>
  <c r="D4" i="7"/>
  <c r="F4" i="7"/>
  <c r="H4" i="7"/>
  <c r="J4" i="7"/>
  <c r="J16" i="7"/>
  <c r="D5" i="7"/>
  <c r="F5" i="7"/>
  <c r="H5" i="7"/>
  <c r="J5" i="7"/>
  <c r="D6" i="7"/>
  <c r="F6" i="7"/>
  <c r="H6" i="7"/>
  <c r="J6" i="7"/>
  <c r="D7" i="7"/>
  <c r="F7" i="7"/>
  <c r="H7" i="7"/>
  <c r="J7" i="7"/>
  <c r="D8" i="7"/>
  <c r="F8" i="7"/>
  <c r="H8" i="7"/>
  <c r="J8" i="7"/>
  <c r="D9" i="7"/>
  <c r="F9" i="7"/>
  <c r="H9" i="7"/>
  <c r="J9" i="7"/>
  <c r="H11" i="7"/>
  <c r="J11" i="7"/>
  <c r="H12" i="7"/>
  <c r="J12" i="7"/>
  <c r="C31" i="6"/>
  <c r="C24" i="6"/>
  <c r="C12" i="6"/>
  <c r="C11" i="6"/>
  <c r="I17" i="7" l="1"/>
  <c r="J17" i="7" s="1"/>
  <c r="J18" i="7" s="1"/>
  <c r="H10" i="7"/>
  <c r="H14" i="7" s="1"/>
  <c r="F10" i="7"/>
  <c r="J10" i="7"/>
  <c r="J14" i="7" s="1"/>
  <c r="D10" i="7"/>
  <c r="B19" i="4"/>
  <c r="I13" i="2"/>
  <c r="I20" i="2"/>
  <c r="J13" i="7" l="1"/>
  <c r="J15" i="7" s="1"/>
  <c r="H13" i="7"/>
  <c r="H15" i="7" s="1"/>
  <c r="E52" i="2"/>
  <c r="D52" i="2"/>
  <c r="E12" i="7" l="1"/>
  <c r="E17" i="7" s="1"/>
  <c r="P22" i="2"/>
  <c r="P21" i="2"/>
  <c r="P20" i="2"/>
  <c r="P19" i="2"/>
  <c r="E87" i="2" l="1"/>
  <c r="E86" i="2"/>
  <c r="E85" i="2"/>
  <c r="E84" i="2"/>
  <c r="E83" i="2"/>
  <c r="E82" i="2"/>
  <c r="D88" i="2" l="1"/>
  <c r="B18" i="4" l="1"/>
  <c r="C18" i="4" s="1"/>
  <c r="E18" i="4" s="1"/>
  <c r="I15" i="2"/>
  <c r="M24" i="2"/>
  <c r="B6" i="4" s="1"/>
  <c r="F16" i="8" s="1"/>
  <c r="E9" i="2" l="1"/>
  <c r="D9" i="2"/>
  <c r="E34" i="2" l="1"/>
  <c r="E4" i="3" s="1"/>
  <c r="D74" i="2" s="1"/>
  <c r="O16" i="7" s="1"/>
  <c r="B12" i="3" l="1"/>
  <c r="B11" i="3" l="1"/>
  <c r="E64" i="2"/>
  <c r="D61" i="2"/>
  <c r="D60" i="2"/>
  <c r="C61" i="2"/>
  <c r="C60" i="2"/>
  <c r="E56" i="2"/>
  <c r="E55" i="2"/>
  <c r="E54" i="2"/>
  <c r="D51" i="2"/>
  <c r="E51" i="2" s="1"/>
  <c r="D50" i="2"/>
  <c r="E50" i="2" s="1"/>
  <c r="B9" i="3"/>
  <c r="E47" i="2"/>
  <c r="D43" i="2"/>
  <c r="D44" i="2" s="1"/>
  <c r="E57" i="2" l="1"/>
  <c r="E60" i="2"/>
  <c r="E61" i="2"/>
  <c r="E33" i="2"/>
  <c r="E63" i="2" l="1"/>
  <c r="E65" i="2" s="1"/>
  <c r="B10" i="3" s="1"/>
  <c r="E58" i="2"/>
  <c r="B7" i="3" s="1"/>
  <c r="E27" i="2"/>
  <c r="E35" i="2" s="1"/>
  <c r="B8" i="3" s="1"/>
  <c r="E26" i="2"/>
  <c r="AJ17" i="2" l="1"/>
  <c r="AJ18" i="2"/>
  <c r="AJ19" i="2"/>
  <c r="AJ20" i="2"/>
  <c r="AJ28" i="2" l="1"/>
  <c r="AJ27" i="2"/>
  <c r="AJ26" i="2"/>
  <c r="AJ25" i="2"/>
  <c r="AJ24" i="2"/>
  <c r="AJ23" i="2"/>
  <c r="AJ22" i="2"/>
  <c r="AJ21" i="2"/>
  <c r="AJ29" i="2" l="1"/>
  <c r="B5" i="2"/>
  <c r="B9" i="2" s="1"/>
  <c r="E4" i="2" l="1"/>
  <c r="E5" i="2"/>
  <c r="C16" i="4" s="1"/>
  <c r="E16" i="4" s="1"/>
  <c r="G26" i="8" s="1"/>
  <c r="B6" i="3" l="1"/>
  <c r="C6" i="4"/>
  <c r="B15" i="4" l="1"/>
  <c r="I12" i="2"/>
  <c r="S11" i="2"/>
  <c r="R9" i="2"/>
  <c r="R8" i="2"/>
  <c r="R7" i="2"/>
  <c r="R6" i="2"/>
  <c r="R5" i="2"/>
  <c r="R3" i="2"/>
  <c r="R2" i="2"/>
  <c r="Q9" i="2"/>
  <c r="Q8" i="2"/>
  <c r="Q7" i="2"/>
  <c r="Q6" i="2"/>
  <c r="Q5" i="2"/>
  <c r="Q3" i="2"/>
  <c r="Q2" i="2"/>
  <c r="O9" i="2"/>
  <c r="O8" i="2"/>
  <c r="O7" i="2"/>
  <c r="O6" i="2"/>
  <c r="O5" i="2"/>
  <c r="O4" i="2"/>
  <c r="O3" i="2"/>
  <c r="O2" i="2"/>
  <c r="N9" i="2"/>
  <c r="N8" i="2"/>
  <c r="N7" i="2"/>
  <c r="N5" i="2"/>
  <c r="N6" i="2"/>
  <c r="N4" i="2"/>
  <c r="N3" i="2"/>
  <c r="N2" i="2"/>
  <c r="C15" i="4" l="1"/>
  <c r="F25" i="8"/>
  <c r="P9" i="2"/>
  <c r="P3" i="2"/>
  <c r="S3" i="2"/>
  <c r="S5" i="2"/>
  <c r="S6" i="2"/>
  <c r="S7" i="2"/>
  <c r="S8" i="2"/>
  <c r="S4" i="2"/>
  <c r="P5" i="2"/>
  <c r="S9" i="2"/>
  <c r="S2" i="2"/>
  <c r="P4" i="2"/>
  <c r="P8" i="2"/>
  <c r="P7" i="2"/>
  <c r="P2" i="2"/>
  <c r="P6" i="2"/>
  <c r="E16" i="2"/>
  <c r="F16" i="2" s="1"/>
  <c r="F15" i="2"/>
  <c r="C21" i="2"/>
  <c r="C20" i="2"/>
  <c r="C19" i="2"/>
  <c r="K42" i="2"/>
  <c r="K40" i="2"/>
  <c r="K34" i="2"/>
  <c r="K35" i="2" s="1"/>
  <c r="C22" i="2" l="1"/>
  <c r="B10" i="4" s="1"/>
  <c r="F17" i="2"/>
  <c r="S10" i="2"/>
  <c r="S13" i="2" s="1"/>
  <c r="B21" i="4" s="1"/>
  <c r="P10" i="2"/>
  <c r="P11" i="2" s="1"/>
  <c r="B20" i="4" s="1"/>
  <c r="K39" i="2"/>
  <c r="K41" i="2" s="1"/>
  <c r="K38" i="2" s="1"/>
  <c r="C20" i="4" l="1"/>
  <c r="E20" i="4" s="1"/>
  <c r="G30" i="8" s="1"/>
  <c r="F30" i="8"/>
  <c r="C10" i="4"/>
  <c r="F20" i="8"/>
  <c r="C21" i="4"/>
  <c r="E21" i="4" s="1"/>
  <c r="G31" i="8" s="1"/>
  <c r="F31" i="8"/>
  <c r="B17" i="4"/>
  <c r="C17" i="4" s="1"/>
  <c r="E17" i="4" s="1"/>
  <c r="I14" i="2"/>
  <c r="M22" i="2"/>
  <c r="M21" i="2"/>
  <c r="M20" i="2"/>
  <c r="M19" i="2"/>
  <c r="M18" i="2"/>
  <c r="M17" i="2"/>
  <c r="M16" i="2"/>
  <c r="M15" i="2"/>
  <c r="M14" i="2"/>
  <c r="M13" i="2"/>
  <c r="M12" i="2"/>
  <c r="M11" i="2"/>
  <c r="M10" i="2"/>
  <c r="M9" i="2"/>
  <c r="M8" i="2"/>
  <c r="M7" i="2"/>
  <c r="M6" i="2"/>
  <c r="M5" i="2"/>
  <c r="M4" i="2"/>
  <c r="M3" i="2"/>
  <c r="M2" i="2"/>
  <c r="M23" i="2" l="1"/>
  <c r="C19" i="4"/>
  <c r="C23" i="4"/>
  <c r="E23" i="4" s="1"/>
  <c r="G33" i="8" s="1"/>
  <c r="C9" i="4"/>
  <c r="E9" i="4" s="1"/>
  <c r="G19" i="8" s="1"/>
  <c r="E8" i="3"/>
  <c r="E7" i="3"/>
  <c r="E5" i="3"/>
  <c r="N23" i="2" l="1"/>
  <c r="O23" i="2" s="1"/>
  <c r="E31" i="2"/>
  <c r="E30" i="2"/>
  <c r="O22" i="2" l="1"/>
  <c r="R22" i="2" s="1"/>
  <c r="O21" i="2"/>
  <c r="R21" i="2" s="1"/>
  <c r="O20" i="2"/>
  <c r="R20" i="2" s="1"/>
  <c r="O19" i="2"/>
  <c r="R19" i="2" s="1"/>
  <c r="I3" i="2"/>
  <c r="I6" i="2"/>
  <c r="I7" i="2"/>
  <c r="I16" i="2"/>
  <c r="I17" i="2"/>
  <c r="I18" i="2"/>
  <c r="R23" i="2" l="1"/>
  <c r="R25" i="2" s="1"/>
  <c r="R26" i="2" s="1"/>
  <c r="M25" i="2" s="1"/>
  <c r="B5" i="4" l="1"/>
  <c r="F15" i="8" s="1"/>
  <c r="I2" i="2" l="1"/>
  <c r="I19" i="2" s="1"/>
  <c r="E18" i="7"/>
  <c r="C5" i="4"/>
  <c r="C23" i="7" l="1"/>
  <c r="B23" i="7"/>
  <c r="E19" i="7"/>
  <c r="B7" i="4" s="1"/>
  <c r="F17" i="8" s="1"/>
  <c r="E24" i="2"/>
  <c r="C22" i="4" s="1"/>
  <c r="I4" i="2" l="1"/>
  <c r="C7" i="4"/>
  <c r="C8" i="4" s="1"/>
  <c r="C13" i="4" s="1"/>
  <c r="B8" i="4"/>
  <c r="D90" i="2" l="1"/>
  <c r="D92" i="2" s="1"/>
  <c r="C11" i="4" s="1"/>
  <c r="B23" i="1" s="1"/>
  <c r="B15" i="2" s="1"/>
  <c r="B25" i="4"/>
  <c r="F35" i="8" s="1"/>
  <c r="F18" i="8"/>
  <c r="C12" i="4"/>
  <c r="E90" i="2"/>
  <c r="E92" i="2" s="1"/>
  <c r="I8" i="2" s="1"/>
  <c r="I5" i="2"/>
  <c r="I10" i="2" l="1"/>
  <c r="I9" i="2"/>
  <c r="B14" i="2"/>
  <c r="B16" i="2" s="1"/>
  <c r="B17" i="2" s="1"/>
  <c r="B22" i="1" s="1"/>
  <c r="E3" i="8" s="1"/>
  <c r="E10" i="2"/>
  <c r="E11" i="2" s="1"/>
  <c r="E12" i="2" s="1"/>
  <c r="D10" i="2"/>
  <c r="D11" i="2" s="1"/>
  <c r="D12" i="2" s="1"/>
  <c r="I21" i="2" l="1"/>
  <c r="B24" i="1" s="1"/>
  <c r="C12" i="2"/>
  <c r="B26" i="2"/>
  <c r="D19" i="4"/>
  <c r="E19" i="4" s="1"/>
  <c r="G29" i="8" s="1"/>
  <c r="D15" i="4"/>
  <c r="E15" i="4" s="1"/>
  <c r="G25" i="8" s="1"/>
  <c r="D10" i="4"/>
  <c r="E10" i="4" s="1"/>
  <c r="G20" i="8" s="1"/>
  <c r="D6" i="4"/>
  <c r="E6" i="4" s="1"/>
  <c r="G16" i="8" s="1"/>
  <c r="D5" i="4"/>
  <c r="E5" i="4" s="1"/>
  <c r="G15" i="8" s="1"/>
  <c r="D7" i="4"/>
  <c r="E7" i="4" s="1"/>
  <c r="G17" i="8" s="1"/>
  <c r="D11" i="4"/>
  <c r="E11" i="4" s="1"/>
  <c r="G21" i="8" s="1"/>
  <c r="E22" i="4" l="1"/>
  <c r="G32" i="8" s="1"/>
  <c r="E13" i="4"/>
  <c r="G23" i="8" s="1"/>
  <c r="D42" i="2"/>
  <c r="E12" i="4"/>
  <c r="G22" i="8" s="1"/>
  <c r="E8" i="4"/>
  <c r="G18" i="8" s="1"/>
  <c r="D25" i="4"/>
  <c r="D28" i="4" s="1"/>
  <c r="A15" i="8" s="1"/>
  <c r="D8" i="4"/>
  <c r="D69" i="2" l="1"/>
  <c r="C24" i="4" s="1"/>
  <c r="C25" i="4" s="1"/>
  <c r="B26" i="1"/>
  <c r="B5" i="3" s="1"/>
  <c r="B3" i="3"/>
  <c r="D45" i="2"/>
  <c r="D46" i="2" s="1"/>
  <c r="D24" i="1" s="1"/>
  <c r="E24" i="4" l="1"/>
  <c r="D47" i="2"/>
  <c r="E46" i="2"/>
  <c r="E48" i="2" s="1"/>
  <c r="B13" i="3" s="1"/>
  <c r="D66" i="2" l="1"/>
  <c r="M10" i="7" s="1"/>
  <c r="D75" i="2" s="1"/>
  <c r="O15" i="7" s="1"/>
  <c r="O17" i="7" s="1"/>
  <c r="G34" i="8"/>
  <c r="E38" i="2"/>
  <c r="F38" i="2" s="1"/>
  <c r="B4" i="3"/>
  <c r="B15" i="3" s="1"/>
  <c r="E25" i="4"/>
  <c r="E28" i="4" s="1"/>
  <c r="A36" i="8" s="1"/>
  <c r="D26" i="1" l="1"/>
  <c r="G35" i="8"/>
  <c r="D73" i="2"/>
  <c r="D77" i="2" s="1"/>
  <c r="E39" i="2"/>
  <c r="F39" i="2" s="1"/>
  <c r="F40" i="2" s="1"/>
  <c r="E3" i="3" s="1"/>
  <c r="B25" i="1"/>
  <c r="D25" i="1" s="1"/>
  <c r="D76" i="2" l="1"/>
  <c r="M4" i="7" s="1"/>
  <c r="O4" i="7" s="1"/>
  <c r="E77" i="2"/>
  <c r="F77" i="2" s="1"/>
  <c r="M5" i="7" s="1"/>
  <c r="O5" i="7" s="1"/>
  <c r="D78" i="2" l="1"/>
  <c r="E78" i="2" l="1"/>
  <c r="F78" i="2" s="1"/>
  <c r="M6" i="7" s="1"/>
  <c r="D79" i="2" l="1"/>
  <c r="E79" i="2" s="1"/>
  <c r="F79" i="2" s="1"/>
  <c r="M7" i="7" s="1"/>
  <c r="O7" i="7" s="1"/>
  <c r="O6" i="7"/>
  <c r="D80" i="2" l="1"/>
  <c r="F80" i="2" s="1"/>
  <c r="M8" i="7" s="1"/>
  <c r="O8" i="7" s="1"/>
  <c r="O10" i="7" s="1"/>
  <c r="E6" i="3" s="1"/>
  <c r="E15" i="3" s="1"/>
  <c r="B25" i="2" s="1"/>
  <c r="B16" i="3" s="1"/>
  <c r="M9" i="7" l="1"/>
</calcChain>
</file>

<file path=xl/comments1.xml><?xml version="1.0" encoding="utf-8"?>
<comments xmlns="http://schemas.openxmlformats.org/spreadsheetml/2006/main">
  <authors>
    <author>Author</author>
  </authors>
  <commentList>
    <comment ref="E5" authorId="0" shapeId="0">
      <text>
        <r>
          <rPr>
            <b/>
            <sz val="9"/>
            <color indexed="81"/>
            <rFont val="B Nazanin"/>
            <charset val="178"/>
          </rPr>
          <t>تحت پوشش کدام صندوق بازنشستگی هستید؟
جهت احتساب سهم کسور بیمه حقوق کارمند</t>
        </r>
      </text>
    </comment>
    <comment ref="C6" authorId="0" shapeId="0">
      <text>
        <r>
          <rPr>
            <b/>
            <sz val="9"/>
            <color indexed="81"/>
            <rFont val="B Nazanin"/>
            <charset val="178"/>
          </rPr>
          <t>پست های تا سطح کاردانی ۷۰۰ امتیاز
پست های کارشناسی ۱۵۰۰ امتیاز
پست کارشناس مسول یا مدیر ۲۰۰۰ امتیاز</t>
        </r>
      </text>
    </comment>
    <comment ref="A7" authorId="0" shapeId="0">
      <text>
        <r>
          <rPr>
            <b/>
            <sz val="9"/>
            <color indexed="81"/>
            <rFont val="B Nazanin"/>
            <charset val="178"/>
          </rPr>
          <t>متاهل بدون محاسبه : مرد یا زنی که به علت متارکه یا فوت همسر به تنهایی سرپرستی فرزندان را عهده دار است
معیل : زنی که متارکه کرده یا به علت  فوت یا معلولیت و از کار افتادگی همسر، سرپرستی فرزندان را عهده دار است.</t>
        </r>
      </text>
    </comment>
    <comment ref="E7" authorId="0" shapeId="0">
      <text>
        <r>
          <rPr>
            <b/>
            <sz val="9"/>
            <color indexed="81"/>
            <rFont val="B Nazanin"/>
            <charset val="178"/>
          </rPr>
          <t>غیر از خودتان چه تعداد از افراد تحت تکفلتان را تحت پوشش بیمه تکمیلی قرار داده اید؟</t>
        </r>
      </text>
    </comment>
    <comment ref="C8" authorId="0" shapeId="0">
      <text>
        <r>
          <rPr>
            <b/>
            <sz val="9"/>
            <color indexed="81"/>
            <rFont val="B Nazanin"/>
            <charset val="178"/>
          </rPr>
          <t xml:space="preserve">در صورتی که درصد فوق العاده ویژه خود را نمی دانید، لطفا به کاربرگ راهنما مراجعه نموده و اطلاعات خواسته شده را وارد نمایید.
</t>
        </r>
      </text>
    </comment>
    <comment ref="E8" authorId="0" shapeId="0">
      <text>
        <r>
          <rPr>
            <b/>
            <sz val="9"/>
            <color indexed="81"/>
            <rFont val="B Nazanin"/>
            <charset val="178"/>
          </rPr>
          <t>در سازمان شما بابت بیمه تکمیلی چه مبلغی از هر فرد کسر می گردد؟</t>
        </r>
      </text>
    </comment>
    <comment ref="A9" authorId="0" shapeId="0">
      <text>
        <r>
          <rPr>
            <b/>
            <sz val="9"/>
            <color indexed="81"/>
            <rFont val="B Nazanin"/>
            <charset val="178"/>
          </rPr>
          <t>مطابق با ماده ۲۸ قانون جامع خدمات رسانی به ایثارگران : فرزندان شاهد، جانبازان و آزادگان از حقوق و مزایای یک مقطع تحصیلی بالاتر بهره مند خواهند شد.
؛برای مشمولین یک مقطع تحصیلی بالاتر اعمال گردد.</t>
        </r>
      </text>
    </comment>
    <comment ref="E9" authorId="0" shapeId="0">
      <text>
        <r>
          <rPr>
            <b/>
            <sz val="9"/>
            <color indexed="81"/>
            <rFont val="B Nazanin"/>
            <charset val="178"/>
          </rPr>
          <t>سازمان شما بابت بیمه تکمیلی کارکنان، چه مبلغی از پرداختی هر فرد را به وی برمیگرداند؟</t>
        </r>
      </text>
    </comment>
    <comment ref="A10" authorId="0" shapeId="0">
      <text>
        <r>
          <rPr>
            <sz val="9"/>
            <color indexed="81"/>
            <rFont val="B Nazanin"/>
            <charset val="178"/>
          </rPr>
          <t>تا 1397/01/01 
حداکثر 30 سال تمام</t>
        </r>
      </text>
    </comment>
    <comment ref="E10" authorId="0" shapeId="0">
      <text>
        <r>
          <rPr>
            <b/>
            <sz val="9"/>
            <color indexed="81"/>
            <rFont val="B Nazanin"/>
            <charset val="178"/>
          </rPr>
          <t>در سازمان شما برای هر کارمند، تا چند نفر از افراد تحت تکفل بیمه (تکمیلی)، مشمول یارانه سهم سازمان می شوند؟
( بیمه شده اصلی + افراد تحت تکفل)</t>
        </r>
      </text>
    </comment>
    <comment ref="E11" authorId="0" shapeId="0">
      <text>
        <r>
          <rPr>
            <b/>
            <sz val="9"/>
            <color indexed="81"/>
            <rFont val="B Nazanin"/>
            <charset val="178"/>
          </rPr>
          <t>طبق ماده 56 قانون جامع ایثارگران :
۱۰۰٪ حقوق و فوق العاده شغل و سایر فوق العاده ها اعم از مستمر و غیر مستمر فرزندان شاهد، جانبازان (بالای ۲۵٪)  آزادگان و رزمندگان بالای ۱۲ ماه سابقه رزمندگی از پرداخت مالیات معاف میباشند.</t>
        </r>
      </text>
    </comment>
    <comment ref="A12" authorId="0" shapeId="0">
      <text>
        <r>
          <rPr>
            <sz val="9"/>
            <color indexed="81"/>
            <rFont val="B Nazanin"/>
            <charset val="178"/>
          </rPr>
          <t>تا 1397/01/01
حداکثر 30 سال</t>
        </r>
      </text>
    </comment>
    <comment ref="C12" authorId="0" shapeId="0">
      <text>
        <r>
          <rPr>
            <b/>
            <sz val="9"/>
            <color indexed="81"/>
            <rFont val="B Nazanin"/>
            <charset val="178"/>
          </rPr>
          <t>کارکنانی که در دوران جنگ تحمیلی در این مناطق (خطي كه از اروند كنار آغاز و پس از گذشتن از آبادان‌، خرمشهر، بستان‌، موسيان‌، دهلران‌، مهران‌، صالح آباد، سومار، گيلان غرب‌،سرپل ذهاب‌، قصرشيرين‌، نوسود، سردشت‌، پيرانشهر به سه راهي نقطه مرزي سه كشور ايران عراق و تركيه ختم مي‌شود) و كليه نقاط در اين خط و بخشهاي مربوط به آن‌ اشتغال داشته اند.
حداکثر ۷ سال و ۱۱ ماه</t>
        </r>
      </text>
    </comment>
    <comment ref="E12" authorId="0" shapeId="0">
      <text>
        <r>
          <rPr>
            <b/>
            <sz val="9"/>
            <color indexed="81"/>
            <rFont val="B Nazanin"/>
            <charset val="178"/>
          </rPr>
          <t>طبق ماده9۱ قانون جامع ایثارگران:
اسرا، آزادگان و جانبازان شاغل و حالت اشتغال، فرزندان شاهد و همچنین رزمندگان بالای ۲۴ ماه حضور در جبهه از پرداخت کسور بازنشستگی معاف می باشند.</t>
        </r>
      </text>
    </comment>
    <comment ref="E13" authorId="0" shapeId="0">
      <text>
        <r>
          <rPr>
            <b/>
            <sz val="9"/>
            <color indexed="81"/>
            <rFont val="B Nazanin"/>
            <charset val="178"/>
          </rPr>
          <t>معمولا چند ساعت اضافه کار در ماه به شما تعلق می گیرد
کارمندان تا سقف ۱۲۰ ساعت
مدیران تا سقف ۱۷۵ ساعت</t>
        </r>
      </text>
    </comment>
    <comment ref="E14" authorId="0" shapeId="0">
      <text>
        <r>
          <rPr>
            <b/>
            <sz val="9"/>
            <color indexed="81"/>
            <rFont val="B Nazanin"/>
            <charset val="178"/>
          </rPr>
          <t xml:space="preserve">طبق ماده 13 ضوابط اجرایی قانون بودجه سال 139۷ کل کشور، فوق العاده ماموریت به کارمندانی که به عنوان مامور برای انجام وظیفه به خارج از حوزه شهرستان محل خدمت خود اعزام می شوند به شرح ذیل پرداخت می شود.
-  تا میزان حداقل حقوق و مزایا (11،230،000 ریال) به ماخذ یک بیستم و نسبت به مازاد به ماخذ یک پنجاهم
- در صورت عدم توقف شبانه، تنها پنجاه درصد از میزان مندرج در بند یاد شده قابل پرداخت می باشد.
</t>
        </r>
      </text>
    </comment>
    <comment ref="C15" authorId="0" shapeId="0">
      <text>
        <r>
          <rPr>
            <b/>
            <sz val="9"/>
            <color indexed="81"/>
            <rFont val="B Nazanin"/>
            <charset val="178"/>
          </rPr>
          <t>فرزند شهید
جانباز بالای 25%
آزاده</t>
        </r>
      </text>
    </comment>
    <comment ref="A16" authorId="0" shapeId="0">
      <text>
        <r>
          <rPr>
            <b/>
            <sz val="9"/>
            <color indexed="81"/>
            <rFont val="B Nazanin"/>
            <charset val="178"/>
          </rPr>
          <t>حداکثر 10 سال
کارشناس مسئول یا رئیس اداره
برای کارکنان فرهنگی سوابق معاونت یا مدیریت مدرسه</t>
        </r>
      </text>
    </comment>
    <comment ref="C16" authorId="0" shapeId="0">
      <text>
        <r>
          <rPr>
            <b/>
            <sz val="9"/>
            <color indexed="81"/>
            <rFont val="B Nazanin"/>
            <charset val="178"/>
          </rPr>
          <t>جهت محاسبه درصد به کاربرگ راهنما مراجعه نمایید</t>
        </r>
      </text>
    </comment>
    <comment ref="E16" authorId="0" shapeId="0">
      <text>
        <r>
          <rPr>
            <b/>
            <sz val="9"/>
            <color indexed="81"/>
            <rFont val="B Nazanin"/>
            <charset val="178"/>
          </rPr>
          <t>طبق ماده 14 ضوابط اجرایی قانون بودجه سال 139۷ کل کشور، پرداخت کمک هزینه تلفن همراه تا ۳۰۰ هزار ریال در ماه به مدیران و کارمندانی که بنا به شرایط خاص باید به طور مستمر در دسترس باشند، به تشخیص رییس دستگاه اجرایی یا مقام مجاز از طرف وی مجاز است.</t>
        </r>
      </text>
    </comment>
    <comment ref="A17" authorId="0" shapeId="0">
      <text>
        <r>
          <rPr>
            <b/>
            <sz val="9"/>
            <color indexed="81"/>
            <rFont val="B Nazanin"/>
            <charset val="178"/>
          </rPr>
          <t>حداکثر 10 سال
معاون مدیرکل،
مدیر کل،
معاون سازمان
رئیس دستگاه</t>
        </r>
      </text>
    </comment>
    <comment ref="C17" authorId="0" shapeId="0">
      <text>
        <r>
          <rPr>
            <b/>
            <sz val="9"/>
            <color indexed="81"/>
            <rFont val="B Nazanin"/>
            <charset val="178"/>
          </rPr>
          <t>جهت محاسبه درصد به کاربرگ راهنما مراجعه نمایید</t>
        </r>
      </text>
    </comment>
    <comment ref="A18" authorId="0" shapeId="0">
      <text>
        <r>
          <rPr>
            <b/>
            <sz val="9"/>
            <color indexed="81"/>
            <rFont val="B Nazanin"/>
            <charset val="178"/>
          </rPr>
          <t>تا سقف  1000 ساعت
قابل احتساب در حق شاغل
هر ساعت ۰.۵ امتیاز</t>
        </r>
      </text>
    </comment>
    <comment ref="C18" authorId="0" shapeId="0">
      <text>
        <r>
          <rPr>
            <b/>
            <sz val="9"/>
            <color indexed="81"/>
            <rFont val="B Nazanin"/>
            <charset val="178"/>
          </rPr>
          <t>جهت محاسبه درصد به کاربرگ راهنما مراجعه فرمایید.</t>
        </r>
      </text>
    </comment>
    <comment ref="C19" authorId="0" shapeId="0">
      <text>
        <r>
          <rPr>
            <b/>
            <sz val="9"/>
            <color indexed="81"/>
            <rFont val="B Nazanin"/>
            <charset val="178"/>
          </rPr>
          <t xml:space="preserve">مديريت سياسي یا مقام :
 1- رؤساي سه قوه 
 2- معاون اول رئيس جمهور، نواب رئيس مجلس شوراي اسلامي و اعضا شوراي نگهبان 
 3- وزرا نمايندگان مجلس شوراي اسلامي و معاونين رئيس جمهور
4- استانداران و سفرا 
 5ـ - معاونين وزرا </t>
        </r>
      </text>
    </comment>
    <comment ref="C20" authorId="0" shapeId="0">
      <text>
        <r>
          <rPr>
            <b/>
            <sz val="9"/>
            <color indexed="81"/>
            <rFont val="B Nazanin"/>
            <charset val="178"/>
          </rPr>
          <t>اگر مقام سیاسی باشد
یکی از موارد را
انتخاب فرمایید.</t>
        </r>
      </text>
    </comment>
    <comment ref="E24" authorId="0" shapeId="0">
      <text>
        <r>
          <rPr>
            <b/>
            <sz val="9"/>
            <color indexed="81"/>
            <rFont val="B Nazanin"/>
            <charset val="178"/>
          </rPr>
          <t>هر ماه چه مبلغی (ریال) از شما بابت اقساط وام دریافتی از صندوق اعتباری سازمان کسر می گردد؟</t>
        </r>
      </text>
    </comment>
  </commentList>
</comments>
</file>

<file path=xl/sharedStrings.xml><?xml version="1.0" encoding="utf-8"?>
<sst xmlns="http://schemas.openxmlformats.org/spreadsheetml/2006/main" count="519" uniqueCount="408">
  <si>
    <t>حقوق ثابت و فوق العاده ها</t>
  </si>
  <si>
    <t>امتیاز</t>
  </si>
  <si>
    <t>مبلغ سال ۹۶ (ریال)</t>
  </si>
  <si>
    <t>ضریب سال ۹۶</t>
  </si>
  <si>
    <t>حداقل حقوق ۹۶</t>
  </si>
  <si>
    <t>ضرایب ثابت</t>
  </si>
  <si>
    <t>حق شغل</t>
  </si>
  <si>
    <t>فوق العاده مدیریت</t>
  </si>
  <si>
    <t>حق شاغل</t>
  </si>
  <si>
    <t>جمع</t>
  </si>
  <si>
    <t>تفاوت تطبیق</t>
  </si>
  <si>
    <t>فوق العاده شغل</t>
  </si>
  <si>
    <t>فوق العاده ویژه</t>
  </si>
  <si>
    <t>فوق العاده مناطق کمتر توسعه یافته</t>
  </si>
  <si>
    <t>فوق العاده بدی آب و هوا</t>
  </si>
  <si>
    <t>فوق العاده مناطق مرزی</t>
  </si>
  <si>
    <t>فوق العاده ایثارگری</t>
  </si>
  <si>
    <t>فوق العاده ایثارگری قانون جامع</t>
  </si>
  <si>
    <t>خدمت در مناطق جنگی</t>
  </si>
  <si>
    <t>فوق العاده سختی شرایط محیط کار</t>
  </si>
  <si>
    <t>حق اولاد</t>
  </si>
  <si>
    <t>فوق العاده نوبت کاری</t>
  </si>
  <si>
    <t>سایر</t>
  </si>
  <si>
    <t>تفاوت تطبیق (ریال)</t>
  </si>
  <si>
    <t>سایر (ریال)</t>
  </si>
  <si>
    <t>درصد ضریب تعدیل (سال ۹۷)</t>
  </si>
  <si>
    <t>نرخ هر ساعت اضافه کاری (ریال)</t>
  </si>
  <si>
    <t>مجموع افزایش حقوق در سال ۹۷</t>
  </si>
  <si>
    <t>درصد کلی افزایش حقوق سال ۹۷</t>
  </si>
  <si>
    <t>اضافه کاری (ساعت)</t>
  </si>
  <si>
    <t>رفاهی کارکنان (ریال)</t>
  </si>
  <si>
    <t>بلی</t>
  </si>
  <si>
    <t>خیر</t>
  </si>
  <si>
    <t>مشمول قانون جامع ایثارگری</t>
  </si>
  <si>
    <t>تحت پوشش بیمه تکمیلی هستید</t>
  </si>
  <si>
    <t>تعداد بیمه تکمیلی تبعی</t>
  </si>
  <si>
    <t>پس انداز ماهیانه صندوق اعتباری (ریال)</t>
  </si>
  <si>
    <t>اقساط ماهیانه صندوق اعتباری (ریال)</t>
  </si>
  <si>
    <t>شرح دریافتی</t>
  </si>
  <si>
    <t>مبلغ (ریال)</t>
  </si>
  <si>
    <t>شرح کسور</t>
  </si>
  <si>
    <t>فوق العاده های مستمر و غیر مستمر</t>
  </si>
  <si>
    <t>ایاب و ذهاب و غذا</t>
  </si>
  <si>
    <t>کمک رفاهی بیمه تکمیلی</t>
  </si>
  <si>
    <t>بیمه حقوق</t>
  </si>
  <si>
    <t>تکمیلی تبعی یک و دو</t>
  </si>
  <si>
    <t>پس انداز سهم کارمند</t>
  </si>
  <si>
    <t>صندوق اعتباری (پس انداز)</t>
  </si>
  <si>
    <t>صندوق اعتباری (اقساط تسهیلات)</t>
  </si>
  <si>
    <t>جمع دریافتی</t>
  </si>
  <si>
    <t>مالیات</t>
  </si>
  <si>
    <t>جمع کسور</t>
  </si>
  <si>
    <t>اجاره مسکن خانه سازمانی</t>
  </si>
  <si>
    <t>شارژ خانه سازمانی</t>
  </si>
  <si>
    <t>جمع دریافتی مشمول مالیات</t>
  </si>
  <si>
    <t>فیش حقوق و دستمزد</t>
  </si>
  <si>
    <t>حکم کارگزینی سال ۱۳۹۷</t>
  </si>
  <si>
    <t>بیمه تکمیلی</t>
  </si>
  <si>
    <t>یارانه</t>
  </si>
  <si>
    <t>جمع بیمه تکمیلی</t>
  </si>
  <si>
    <t>اگر بیمه باشد</t>
  </si>
  <si>
    <t>اگر نباشد</t>
  </si>
  <si>
    <t>اگر تعداد زیاد شد</t>
  </si>
  <si>
    <t>حقوق ثابت (شغل، شاغل، مدیریت)</t>
  </si>
  <si>
    <t>جمع آخرین حکم کارگزینی سال 96</t>
  </si>
  <si>
    <t>حق عائله مندی</t>
  </si>
  <si>
    <t>ارشد</t>
  </si>
  <si>
    <t>خبره</t>
  </si>
  <si>
    <t>طبقه شغلی</t>
  </si>
  <si>
    <t>مقدماتی</t>
  </si>
  <si>
    <t>پایه</t>
  </si>
  <si>
    <t>عالی</t>
  </si>
  <si>
    <t>جنسیت</t>
  </si>
  <si>
    <t xml:space="preserve">طبقه </t>
  </si>
  <si>
    <t>مرد</t>
  </si>
  <si>
    <t>زن</t>
  </si>
  <si>
    <t>وضعیت تاهل</t>
  </si>
  <si>
    <t>متاهل</t>
  </si>
  <si>
    <t>مجرد</t>
  </si>
  <si>
    <t>متاهل بدون محاسبه</t>
  </si>
  <si>
    <t>مرد یا زن</t>
  </si>
  <si>
    <t>امتیاز عایله مندی</t>
  </si>
  <si>
    <t>ضریب عایله مندی</t>
  </si>
  <si>
    <t>تعداد فرزندان</t>
  </si>
  <si>
    <t>ضریب اولاد</t>
  </si>
  <si>
    <t>امتیاز اولاد</t>
  </si>
  <si>
    <t>اولاد محاسبه شود یا خیر</t>
  </si>
  <si>
    <t>تعداد فرزند قابل محاسبه</t>
  </si>
  <si>
    <t xml:space="preserve">تعداد فرزند </t>
  </si>
  <si>
    <t>متاهل بدون محاسبه زن</t>
  </si>
  <si>
    <t>فوق العاده مشاغل تخصصی</t>
  </si>
  <si>
    <t>تا سطح کاردانی</t>
  </si>
  <si>
    <t>کارشناسی</t>
  </si>
  <si>
    <t>مدیریتی</t>
  </si>
  <si>
    <t>امتیاز فوق العاده شغل</t>
  </si>
  <si>
    <t>فوق العاده سختی شرایط محیط کار (امتیاز)</t>
  </si>
  <si>
    <t>خدمت اداری در مناطق جنگ زده (سال)</t>
  </si>
  <si>
    <t>خدمت اداری در مناطق جنگ زده (ماه)</t>
  </si>
  <si>
    <t>خدمت منطقه جنگی سال</t>
  </si>
  <si>
    <t>خدمت منطقه جنگی ماه</t>
  </si>
  <si>
    <t>امتیاز مناطق جنگی</t>
  </si>
  <si>
    <t>معیل</t>
  </si>
  <si>
    <t>زن مرد</t>
  </si>
  <si>
    <t>وضعیت</t>
  </si>
  <si>
    <t>نتیجه</t>
  </si>
  <si>
    <t>تعداد اولاد</t>
  </si>
  <si>
    <t>امتیاز هر اولاد</t>
  </si>
  <si>
    <t>جمع امتیاز اولاد</t>
  </si>
  <si>
    <t>تحصیلات</t>
  </si>
  <si>
    <t>مهارت</t>
  </si>
  <si>
    <t>سنوات</t>
  </si>
  <si>
    <t>تجربه</t>
  </si>
  <si>
    <t>زیر دیپلم</t>
  </si>
  <si>
    <t>دیپلم</t>
  </si>
  <si>
    <t>فوق دیپلم</t>
  </si>
  <si>
    <t>لیسانس</t>
  </si>
  <si>
    <t>فوق لیسانس</t>
  </si>
  <si>
    <t>دکتری</t>
  </si>
  <si>
    <t>مدرک تحصیلی</t>
  </si>
  <si>
    <t>سال</t>
  </si>
  <si>
    <t>ماه</t>
  </si>
  <si>
    <t>جمع حق شاغل</t>
  </si>
  <si>
    <t>ضریب ثابت</t>
  </si>
  <si>
    <t>سرپرستی</t>
  </si>
  <si>
    <t>سقف سرپرستی</t>
  </si>
  <si>
    <t>جمع سرپرستی و مدیریت</t>
  </si>
  <si>
    <t>امتیاز فوق العاده مدیریت</t>
  </si>
  <si>
    <t>امتیاز نهایی حق شاغل</t>
  </si>
  <si>
    <t>رفاهیات (ریال)</t>
  </si>
  <si>
    <t>درصد جانبازي</t>
  </si>
  <si>
    <t>مدت اسارت</t>
  </si>
  <si>
    <t>مدت خدمت داوطلبانه در جبهه</t>
  </si>
  <si>
    <t> ۵ درصد</t>
  </si>
  <si>
    <t>۳ تا ۶ ماه</t>
  </si>
  <si>
    <t>تا ۱۰ درصد</t>
  </si>
  <si>
    <t>تا ۱۲ ماه</t>
  </si>
  <si>
    <t>تا ۱۵ درصد</t>
  </si>
  <si>
    <t>تا ۱۸ ماه</t>
  </si>
  <si>
    <t>تا ۲۰ درصد</t>
  </si>
  <si>
    <t>تا ۲۴ ماه</t>
  </si>
  <si>
    <t>تا ۲۵ درصد</t>
  </si>
  <si>
    <t>تا ۳۰ ماه</t>
  </si>
  <si>
    <t>تا ۳۰ درصد</t>
  </si>
  <si>
    <t>تا ۳۶ ماه</t>
  </si>
  <si>
    <t>تا ۳۵ درصد</t>
  </si>
  <si>
    <t>تا ۴۲ ماه</t>
  </si>
  <si>
    <t>تا ۴۰ درصد</t>
  </si>
  <si>
    <t>تا ۴۸ ماه</t>
  </si>
  <si>
    <t>تا ۴۵ درصد</t>
  </si>
  <si>
    <t>تا ۵۴ ماه</t>
  </si>
  <si>
    <t>تا ۵۰ درصد</t>
  </si>
  <si>
    <t>تا ۶۰ ماه</t>
  </si>
  <si>
    <t>تا ۶۰ درصد</t>
  </si>
  <si>
    <t>تا ۷۰ ماه</t>
  </si>
  <si>
    <t>بالاتر از ۶۰ درصد</t>
  </si>
  <si>
    <t>بالاتر از ۷۰ ماه</t>
  </si>
  <si>
    <t>فرزند شهید</t>
  </si>
  <si>
    <t>آزاده</t>
  </si>
  <si>
    <t>قانون جامع ایثارگری</t>
  </si>
  <si>
    <t>فوق العاده شغل (سطح تخصص شغل)</t>
  </si>
  <si>
    <t>سنوات خدمت (سال)</t>
  </si>
  <si>
    <t>سنوات خدمت (ماه)</t>
  </si>
  <si>
    <t>تجربه مربوط و مشابه (سال)</t>
  </si>
  <si>
    <t>تجربه مربوط و مشابه (ماه)</t>
  </si>
  <si>
    <t>رتبه شغلی</t>
  </si>
  <si>
    <t>دوره های آموزشی ( ساعت)</t>
  </si>
  <si>
    <t>سنوات مشاغل سرپرستی (سال)</t>
  </si>
  <si>
    <t>سنوات مشاغل مدیریتی (سال)</t>
  </si>
  <si>
    <t>فوق العاده ویژه (درصد)</t>
  </si>
  <si>
    <t>مشمول فوق العاده نوبت کاری (درصد)</t>
  </si>
  <si>
    <t>حداقل حقوق ۹۷</t>
  </si>
  <si>
    <t>ضریب سال 97</t>
  </si>
  <si>
    <t>ضریب سال اعمالی</t>
  </si>
  <si>
    <t>مقام سیاسی (مقامات ماده 71)</t>
  </si>
  <si>
    <t>پست سیاسی</t>
  </si>
  <si>
    <t>معاون اول رئیس جمهور</t>
  </si>
  <si>
    <t>نایب رئیس مجلس</t>
  </si>
  <si>
    <t>عضو شورای نگهبان</t>
  </si>
  <si>
    <t>وزیر</t>
  </si>
  <si>
    <t>نماینده مجلس</t>
  </si>
  <si>
    <t>استاندار</t>
  </si>
  <si>
    <t>سفیر</t>
  </si>
  <si>
    <t>معاون وزیر</t>
  </si>
  <si>
    <t>حق شغل مقام سیاسی</t>
  </si>
  <si>
    <t>امتیاز عائله مندی</t>
  </si>
  <si>
    <t>حق شغل اعمالی در حکم</t>
  </si>
  <si>
    <t>مبلغ ریالی ضریب تعدیل</t>
  </si>
  <si>
    <t>تهیه و تنظیم : صیاح الدین شهدی</t>
  </si>
  <si>
    <t>کارشناس کارگزینی سازمان هواشناسی کشور</t>
  </si>
  <si>
    <t>ZhowanMarket@gmail.com</t>
  </si>
  <si>
    <t>رئیس قوه قضائیه</t>
  </si>
  <si>
    <t>رئیس مجلس</t>
  </si>
  <si>
    <t>رئیس جمهور</t>
  </si>
  <si>
    <t>ضریب عائله مندی</t>
  </si>
  <si>
    <t>جانباز 25% و بالاتر</t>
  </si>
  <si>
    <t>پس انداز سهم کارمند ۱۵۰ ضربدر ضریب سال</t>
  </si>
  <si>
    <t>بیمه تکمیلی هر فرد (ریال)</t>
  </si>
  <si>
    <t>یارانه بیمه تکمیلی هر فرد (ریال)</t>
  </si>
  <si>
    <t>تعداد شمول یارانه بیمه تکمیلی</t>
  </si>
  <si>
    <t xml:space="preserve">شرح میزان حقوق </t>
  </si>
  <si>
    <t>مساوی یا کمتر از میزان معافیت</t>
  </si>
  <si>
    <t>تا 3 برابر مازاد معافیت</t>
  </si>
  <si>
    <t>تا 4 برابر مازاد معافیت</t>
  </si>
  <si>
    <t>تا 6 برابر مازاد معافیت</t>
  </si>
  <si>
    <t>بیشتر از 6 برابر مازاد معافیت</t>
  </si>
  <si>
    <t>مبلغ حقوق</t>
  </si>
  <si>
    <t>نرخ مالیات</t>
  </si>
  <si>
    <t>مبلغ مالیات</t>
  </si>
  <si>
    <t>مالیات پرداختی</t>
  </si>
  <si>
    <t>تامین اجتماعی</t>
  </si>
  <si>
    <t>بازنشستگی کشوری</t>
  </si>
  <si>
    <t>مبلغ حق بیمه</t>
  </si>
  <si>
    <t>معاف از پرداخت مالیات</t>
  </si>
  <si>
    <t>معاف از پرداخت کسور بازنشستگی</t>
  </si>
  <si>
    <t>مناطق کمتر توسعه یافته (درصد)</t>
  </si>
  <si>
    <t>بدی آب و هوا (درصد)</t>
  </si>
  <si>
    <t>حقوق و مزایای مستمر حکم ۹۷</t>
  </si>
  <si>
    <t>یک ۲۰ م حداقل حقوق</t>
  </si>
  <si>
    <t>یک ۵۰م تفاضل حقوق مستمر و حداقل حقوق</t>
  </si>
  <si>
    <t>ماموریت (روز)</t>
  </si>
  <si>
    <t>نوع ماموریت</t>
  </si>
  <si>
    <t>شبانه روزی</t>
  </si>
  <si>
    <t>روزانه</t>
  </si>
  <si>
    <t>مبلغ ماموریت روزانه در فیش حقوقی</t>
  </si>
  <si>
    <t>کمک رفاهی دوم</t>
  </si>
  <si>
    <t>کارانه (ریال)</t>
  </si>
  <si>
    <t>کمک رفاهی دوم (ریال)</t>
  </si>
  <si>
    <t>کمک هزینه تلفن همراه</t>
  </si>
  <si>
    <t>--</t>
  </si>
  <si>
    <t>کمک هزینه ایاب و ذهاب</t>
  </si>
  <si>
    <t>شهرهای کمتر از ۵۰۰ هزار نفر</t>
  </si>
  <si>
    <t>شهرهای بیش از ۵۰۰ هزار نفر</t>
  </si>
  <si>
    <t>تهران</t>
  </si>
  <si>
    <t xml:space="preserve">کمک هزینه غذا </t>
  </si>
  <si>
    <t>کمک هزینه ایاب و ذهاب و غذا در فیش حقوقی</t>
  </si>
  <si>
    <t xml:space="preserve"> ایاب و ذهاب (محل کار)</t>
  </si>
  <si>
    <t>تعداد فرزند زیر ۶ سال</t>
  </si>
  <si>
    <t>کمک هزینه مهد کودک</t>
  </si>
  <si>
    <t>آیا شامل کمک هزینه مهد کودک می شود؟</t>
  </si>
  <si>
    <t>کارانه</t>
  </si>
  <si>
    <t>صندوق  بازنشستگی</t>
  </si>
  <si>
    <t>جمع واریزی فیش</t>
  </si>
  <si>
    <t>کمک هزینه ماموریت (یک شبانه روز)</t>
  </si>
  <si>
    <t>اطلاعات بدست آمده از مرحله ورود اطلاعات، لطفا جهت مشاهده حکم کارگزینی و فیش حقوقی به کاربرگ های (شیت) دوم و سوم مراجعه فرمایید..</t>
  </si>
  <si>
    <t>تعداد فرزندان زیر ۶  سال</t>
  </si>
  <si>
    <t>https://shenasname.ir/</t>
  </si>
  <si>
    <t>جمع حقوق و مزایای واریزی (ریال)</t>
  </si>
  <si>
    <t>ماموریت</t>
  </si>
  <si>
    <t>مابه التفاوت حداقل حقوق 97</t>
  </si>
  <si>
    <t>لطفا در کادرهای سبز رنگ ورود اطلاعات نمایید.(ستون های اول و دوم مربوط به عوامل حکم کارگزینی و ستون سوم مربوط به عوامل فیش حقوقی می باشد)</t>
  </si>
  <si>
    <t>مبلغ قابل پرداخت بیمه تکمیلی</t>
  </si>
  <si>
    <t>مبلغ یارانه بیمه تکمیلی</t>
  </si>
  <si>
    <t>فوق العاده اضافه کاری</t>
  </si>
  <si>
    <t>مقام باشد نباشد</t>
  </si>
  <si>
    <t>اگر بالای 5 میلیون باشد نباشد</t>
  </si>
  <si>
    <t>آموزگار یا دبیر آموزش و پرورش</t>
  </si>
  <si>
    <t>رتبه بندی فرهنگیان</t>
  </si>
  <si>
    <t>دارنده نشان های دولتی</t>
  </si>
  <si>
    <t>تخصصي  و عمومي درجه 1</t>
  </si>
  <si>
    <t>تخصصي و عمومي درجه 2</t>
  </si>
  <si>
    <t>تخصصي و عمومي درجه 3</t>
  </si>
  <si>
    <t>بیش از یک نشان دولتی</t>
  </si>
  <si>
    <t>امتیاز فوق العاده دارندگان نشان های دولتی</t>
  </si>
  <si>
    <t>فوف العاده نشان های دولتی</t>
  </si>
  <si>
    <t>فرهنگیان</t>
  </si>
  <si>
    <t>فوق العاده ویژه قابل قبول</t>
  </si>
  <si>
    <t>حق شغل فرهنگیان</t>
  </si>
  <si>
    <t>حق شغل کارمند</t>
  </si>
  <si>
    <t>معلم یا کارمند</t>
  </si>
  <si>
    <t>مقام یا غیر</t>
  </si>
  <si>
    <t>مقامات سیاسی (ماده ۷۱ قانون)</t>
  </si>
  <si>
    <t>سایر کارمندان یا مدیران</t>
  </si>
  <si>
    <t>گروه یک : آموزگارن ، دبیران ، معاونان یا مدیران مدارس (کارمندان مشمول رتبه بندی فرهنگیان)</t>
  </si>
  <si>
    <t>گروه دو : مقامات سیاسی : روسای قوا، معاون اول رییس جمهور، روسای دستگاه های اجرایی، وزیران، سفرا، استانداران، نمایندگان مجلس</t>
  </si>
  <si>
    <t>گروه سه : سایر کارمندان و مدیران دولت (کارمندان واحد ستادی آموزش و پرورش، کارشناسان، رییس ادارات، مدیران و سایرکارکنان دولت)</t>
  </si>
  <si>
    <t>حق شغل (ریال)</t>
  </si>
  <si>
    <t>فوق العاده مدیریت (ریال)</t>
  </si>
  <si>
    <t>حق شاغل (ریال)</t>
  </si>
  <si>
    <t>فوق العاده مناطق کمتر توسعه یافته (ریال)</t>
  </si>
  <si>
    <t>فوق العاده بدی آب و هوا (ریال)</t>
  </si>
  <si>
    <t>درصد فوق لعاده مناطق کمتر توسعه یافته</t>
  </si>
  <si>
    <t>درصد فوق العاده بدی آب و هوا</t>
  </si>
  <si>
    <t>نحوه محاسبه درصد فوق العاده مناطق کمتر توسعه یافته و بدی آب و هوا</t>
  </si>
  <si>
    <r>
      <t xml:space="preserve">در قسمت </t>
    </r>
    <r>
      <rPr>
        <sz val="14"/>
        <color rgb="FFFFFF00"/>
        <rFont val="B Nazanin"/>
        <charset val="178"/>
      </rPr>
      <t>زرد رنگ</t>
    </r>
    <r>
      <rPr>
        <sz val="14"/>
        <color theme="0"/>
        <rFont val="B Nazanin"/>
        <charset val="178"/>
      </rPr>
      <t xml:space="preserve"> مطابق آخرین حکم کارگزینی ورود اطلاعات نمایید.</t>
    </r>
  </si>
  <si>
    <t>فوق العاده شغل (ریال)</t>
  </si>
  <si>
    <t>فوق العاده ایثارگری (ریال)</t>
  </si>
  <si>
    <t>فوق العاده ویژه (ریال)</t>
  </si>
  <si>
    <t>درصد فوق العاده ویژه</t>
  </si>
  <si>
    <r>
      <t xml:space="preserve">نتایج در قسمت </t>
    </r>
    <r>
      <rPr>
        <sz val="14"/>
        <color theme="9"/>
        <rFont val="B Nazanin"/>
        <charset val="178"/>
      </rPr>
      <t>سبز رنگ</t>
    </r>
    <r>
      <rPr>
        <sz val="14"/>
        <color theme="0"/>
        <rFont val="B Nazanin"/>
        <charset val="178"/>
      </rPr>
      <t xml:space="preserve"> نمایش داده خواهد شد.</t>
    </r>
  </si>
  <si>
    <t>نحوه محاسبه درصد فوق العاده ویژه</t>
  </si>
  <si>
    <t>فوق العاده سختی شرایط محط کار (ریال)</t>
  </si>
  <si>
    <t>امتیاز سنوات</t>
  </si>
  <si>
    <t>امتیاز تجربه</t>
  </si>
  <si>
    <t>امتیاز تحصیلات</t>
  </si>
  <si>
    <t>امتیاز مهارت</t>
  </si>
  <si>
    <t>نحوه محاسبه درصد فوق العاده نوبت کاری</t>
  </si>
  <si>
    <t>فوق العاده نوبت کاری (ریال)</t>
  </si>
  <si>
    <r>
      <t xml:space="preserve">نتیجه در قسمت </t>
    </r>
    <r>
      <rPr>
        <sz val="14"/>
        <color theme="9"/>
        <rFont val="B Nazanin"/>
        <charset val="178"/>
      </rPr>
      <t>سبز رنگ</t>
    </r>
    <r>
      <rPr>
        <sz val="14"/>
        <color theme="0"/>
        <rFont val="B Nazanin"/>
        <charset val="178"/>
      </rPr>
      <t xml:space="preserve"> نمایش داده خواهد شد.</t>
    </r>
  </si>
  <si>
    <t>قابل توجه</t>
  </si>
  <si>
    <t>چون امتیاز حق شاغل شما بیش از ۷۵٪ حق شغلتان است، سیستم بصورت خودکار، ۷۵٪ از حق شغل را محاسبه خواهد نمود</t>
  </si>
  <si>
    <t>در قسمت ورود اطلاعات، سنوات خدمت را بیش از ۳۰ سال وارد نموده اید، سیستم بصورت خودکار ۳۰ سال را محاسبه خواهد نمود.</t>
  </si>
  <si>
    <t>در قسمت ورود اطلاعات، تجربه مربوط و مشابه را بیش از ۳۰ سال وارد نموده اید، سیستم بصورت خودکار ۳۰ سال محاسبه خواهد نمود.</t>
  </si>
  <si>
    <t>در قسمت ورود اطلاعات، ساعات آموزش ضمن خدمت را بیش از ۱۰۰۰ ساعت وارد نموده اید، سیستم بصورت خودکار ۱۰۰۰ ساعت را محاسبه خواهد نمود.</t>
  </si>
  <si>
    <t>امتیاز آموزش</t>
  </si>
  <si>
    <t>جمع امتیاز تحصیلات، مهارت، سنوات، تجربه و آموزش</t>
  </si>
  <si>
    <t>مدیریت</t>
  </si>
  <si>
    <t>ضریب تعدیل</t>
  </si>
  <si>
    <t>ضریب اعمالی</t>
  </si>
  <si>
    <t>متاهل یا معیل</t>
  </si>
  <si>
    <t>امتیاز ایثارگری قابل محاسبه</t>
  </si>
  <si>
    <t>از ۳ تا ۶ ماه</t>
  </si>
  <si>
    <t>امتیاز درصد جانبازي</t>
  </si>
  <si>
    <t>امتیاز مدت اسارت</t>
  </si>
  <si>
    <t>امتیاز خدمت داوطلبانه در جبهه</t>
  </si>
  <si>
    <t>امتیاز فرزند شهید</t>
  </si>
  <si>
    <t>جمع امتیاز حالات ایثارگری</t>
  </si>
  <si>
    <t>مجموع امتیازات ایثارگری شما بیش از ۱۵۰۰ امتیاز است، اما مطابق تبصره ۱ از بند ۴  ماده ۶۸ قانون مدیریت خدمات کشوری،  ۱۵۰۰ امتیاز به شما تعلق خواهد گرفت.</t>
  </si>
  <si>
    <t>پنج روز در هفته (۲۲)</t>
  </si>
  <si>
    <t>شش روز در هفته (۲۶)</t>
  </si>
  <si>
    <t>هفت روز در هفته (۳۰)</t>
  </si>
  <si>
    <t>مابه التفاوت حداقل حقوق</t>
  </si>
  <si>
    <t>جدول محاسبات امتیازات حق شاغل، با توجه به اطلاعات وارد شده در کاربرگ ورود اطلاعات</t>
  </si>
  <si>
    <t>جدول محاسبات امتیازات فوق العاده ایثارگری، با توجه به اطلاعات وارد شده در کاربرگ ورود اطلاعات</t>
  </si>
  <si>
    <t>درصد جانبازی</t>
  </si>
  <si>
    <t>خدمت داوطلبانه در جبهه</t>
  </si>
  <si>
    <t>شاخص</t>
  </si>
  <si>
    <t>جدول محاسبه مالیات متعلقه، از مجموع دریافتی های مشمول مالیات</t>
  </si>
  <si>
    <t>کارکنان</t>
  </si>
  <si>
    <t>امتیاز پایه</t>
  </si>
  <si>
    <t>امتیاز سرپرستی</t>
  </si>
  <si>
    <t>امتیاز مدیریتی</t>
  </si>
  <si>
    <t>قابل احتساب</t>
  </si>
  <si>
    <t xml:space="preserve">مبلغ مشمول مالیات </t>
  </si>
  <si>
    <t>مشمول رتبه بندی فرهنگیان</t>
  </si>
  <si>
    <t>کمک هزینه غذا (تعداد روزهای کاری)</t>
  </si>
  <si>
    <t>محاسبه احکام مقامات سیاسی (ماده ۷۱ ق م خ ک)، فرهنگیان محترم و سایر کارکنان مشمول قانون مدیریت خدمات کشوری و همچنین محاسبه مبالغ مندرج در فیش حقوقی کارکنان</t>
  </si>
  <si>
    <t>مبالغ ریالی ناشی از اعمال ضریب تعدیل</t>
  </si>
  <si>
    <t>مبالغ ریالی پس از اعمال ضریب سال ۹۷</t>
  </si>
  <si>
    <t>مبالغ ریالی نهایی حکم کارگزینی سال ۹۷</t>
  </si>
  <si>
    <t>دو هفتم مشمول مالیات</t>
  </si>
  <si>
    <t>مبلغ پرداختی بابت بیمه تکمیلی</t>
  </si>
  <si>
    <t>سقف معاف مالیاتی</t>
  </si>
  <si>
    <t>مساوی یا کمتر از میزان معافیت مالیاتی*</t>
  </si>
  <si>
    <t>عنوان</t>
  </si>
  <si>
    <t>میزان معافیت مالیاتی کارکنان دولت در ماه، مطابق جدول روبرو محاسبه خواهد شد.</t>
  </si>
  <si>
    <t>سقف معافیت مالیاتی سال ۹۷</t>
  </si>
  <si>
    <t>دو هفتم مبلغ مشمول مالیات</t>
  </si>
  <si>
    <t>کسور ناشی از بیمه تکمیلی</t>
  </si>
  <si>
    <t>همراهان گرامی، در صورتی که تونستیم تا حدودی رضایت شما عزیزان رو جلب کنیم، دعا برای سلامتی بیماران سرزمین مون رو فراموش نکنید.</t>
  </si>
  <si>
    <t>محاسبه 75% (حق شغل و مدیریت)</t>
  </si>
  <si>
    <t>حقوق و مزایای مبنای کسور بازنشستگی سال 97 (ریال)</t>
  </si>
  <si>
    <t>بسمه تعالی</t>
  </si>
  <si>
    <t>حکم کارگزینی کارمندان رسمی</t>
  </si>
  <si>
    <t>فرم ع - 32 ( 12 - 87) ت 4</t>
  </si>
  <si>
    <t>1 - دستگاه اجرایی :</t>
  </si>
  <si>
    <t>2 - نام و نام خانوادگی :</t>
  </si>
  <si>
    <t>3 - نام پدر :</t>
  </si>
  <si>
    <t>4 - شماره ملی کارمند :</t>
  </si>
  <si>
    <t>5 - شماره مستخدم :</t>
  </si>
  <si>
    <t xml:space="preserve">6 - شماره شناسنامه : </t>
  </si>
  <si>
    <t>7 - محل صدور :</t>
  </si>
  <si>
    <t>8 - محل تولد :</t>
  </si>
  <si>
    <t>9 - تاریخ تولد :</t>
  </si>
  <si>
    <t>11 - عنوان پست سازمانی :</t>
  </si>
  <si>
    <t>شماره :</t>
  </si>
  <si>
    <t>رتبه :</t>
  </si>
  <si>
    <t>14 - واحد سازمانی :</t>
  </si>
  <si>
    <t>16 - نوع استخدام :</t>
  </si>
  <si>
    <t>20- شرح حکم :</t>
  </si>
  <si>
    <t>21 - حقوق و فوق العاده ها</t>
  </si>
  <si>
    <t>الف) حقوق ثابت</t>
  </si>
  <si>
    <t>ب ) تفاوت تطبیق *</t>
  </si>
  <si>
    <t>پ ) فوق العاده شغل</t>
  </si>
  <si>
    <t>ت ) فوق العاده ویژه</t>
  </si>
  <si>
    <t>ث ) فوق العاده مناطق کمتر توسعه یافته **</t>
  </si>
  <si>
    <t>ج ) فوق العاده بدی آب و هوا ***</t>
  </si>
  <si>
    <t>چ ) فوق العاده مناطق مرزی</t>
  </si>
  <si>
    <t>ح ) فوق العاده ایثارگری</t>
  </si>
  <si>
    <t>خ ) فوق العاده ایثارگری قانون جامع</t>
  </si>
  <si>
    <t>د ) خدمت در مناطق جنگی</t>
  </si>
  <si>
    <t>جمع :</t>
  </si>
  <si>
    <t>پس از وضع کسور قانونی از :                    فصل :                     ماده :                       قابل پرداخت است.</t>
  </si>
  <si>
    <t>24 - تاریخ صدور و شماره حکم :</t>
  </si>
  <si>
    <t>تاریخ :</t>
  </si>
  <si>
    <t>25 -  نام و نام خانوادگی مقام مسئول :</t>
  </si>
  <si>
    <t>عنوان پست سازمانی :</t>
  </si>
  <si>
    <t xml:space="preserve">صادر کننده : </t>
  </si>
  <si>
    <t>امضا</t>
  </si>
  <si>
    <t>نسخه :</t>
  </si>
  <si>
    <t>* در سال 1388 با توجه به بند (11) قانون بودجه 1388 کل کشور تفاوت تطبیق در حکم حقوق ثابت می باشد.</t>
  </si>
  <si>
    <t>** بر اساس بند 7 فصل یکم عمل می شود.   *** بر اساس بند 6 فصل یکم عمل می شود.  **** بر اساس اجزا ب و ج مرحله دوم بند 8 فصل دوم عمل می شود.</t>
  </si>
  <si>
    <t>ذ) فوق العاده نشان های دولتی</t>
  </si>
  <si>
    <t>ر ) فوق العاده سختی شرایط محیط کار</t>
  </si>
  <si>
    <t>ز ) حق عائله مندی</t>
  </si>
  <si>
    <t>س) حق اولاد</t>
  </si>
  <si>
    <t>ش ) فوق العاده نوبت کاری</t>
  </si>
  <si>
    <t>ط ) سایر ****</t>
  </si>
  <si>
    <t>ظ ) مابه التفاوت حداقل حقوق</t>
  </si>
  <si>
    <t>12 - رسته :                            رشته شغلی:</t>
  </si>
  <si>
    <t xml:space="preserve">طبقه شغلی :  </t>
  </si>
  <si>
    <t>23 - تاریخ اجرای حکم :    ۱۳۹۷/۰۱/۰۱</t>
  </si>
  <si>
    <t>تهیه و تنظیم : صیاح الدین شهدی          کارشناس کارگزینی سازمان هواشناسی کشور</t>
  </si>
  <si>
    <t>15 - محل خدمت :                      استان :                            شهرستان :                         بخش :                          دهستان :</t>
  </si>
  <si>
    <t>19 - نوع حکم :  افزایش ضریب حقوق ابتدای سال</t>
  </si>
  <si>
    <t>مجموع حقوق و مزایای  سال ۹۷</t>
  </si>
  <si>
    <r>
      <t xml:space="preserve">و با استناد به </t>
    </r>
    <r>
      <rPr>
        <b/>
        <sz val="10"/>
        <color theme="5" tint="-0.499984740745262"/>
        <rFont val="B Roya"/>
        <charset val="178"/>
      </rPr>
      <t>تصویب نامه شماره ۱۴۸۹۶/ت۵۵۳۱۳ه مورخ ۹۷/۰۲/۱۶ هیات وزیران (و اصلاحیه۱۹ خرداد ۹۷)</t>
    </r>
    <r>
      <rPr>
        <b/>
        <sz val="10"/>
        <color theme="3" tint="-0.499984740745262"/>
        <rFont val="B Roya"/>
        <charset val="178"/>
      </rPr>
      <t xml:space="preserve"> و </t>
    </r>
    <r>
      <rPr>
        <b/>
        <sz val="10"/>
        <color theme="5" tint="-0.499984740745262"/>
        <rFont val="B Roya"/>
        <charset val="178"/>
      </rPr>
      <t>ضوابط اجرایی قانون بودجه سال ۱۳۹۷ کل کشو</t>
    </r>
    <r>
      <rPr>
        <b/>
        <sz val="10"/>
        <color theme="3" tint="-0.499984740745262"/>
        <rFont val="B Roya"/>
        <charset val="178"/>
      </rPr>
      <t>ر</t>
    </r>
  </si>
  <si>
    <r>
      <t xml:space="preserve">محاسبه حقوق و مزایای کارکنان (رسمی و پیمانی) مشمول </t>
    </r>
    <r>
      <rPr>
        <b/>
        <sz val="11"/>
        <color theme="5" tint="-0.499984740745262"/>
        <rFont val="B Roya"/>
        <charset val="178"/>
      </rPr>
      <t>قانون مدیریت خدمات کشوری</t>
    </r>
    <r>
      <rPr>
        <b/>
        <sz val="11"/>
        <color theme="3" tint="-0.499984740745262"/>
        <rFont val="B Roya"/>
        <charset val="178"/>
      </rPr>
      <t xml:space="preserve"> مطابق با آخرین </t>
    </r>
    <r>
      <rPr>
        <b/>
        <sz val="11"/>
        <color theme="5" tint="-0.499984740745262"/>
        <rFont val="B Roya"/>
        <charset val="178"/>
      </rPr>
      <t>قوانین و بخشنامه های اداری</t>
    </r>
    <r>
      <rPr>
        <b/>
        <sz val="11"/>
        <color theme="3" tint="-0.499984740745262"/>
        <rFont val="B Roya"/>
        <charset val="178"/>
      </rPr>
      <t xml:space="preserve"> </t>
    </r>
  </si>
  <si>
    <t xml:space="preserve">۱۷ - ایثارگری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</si>
</sst>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3000401]0"/>
    <numFmt numFmtId="165" formatCode="#,##0;[Red]#,##0"/>
    <numFmt numFmtId="166" formatCode="0;[Red]0"/>
    <numFmt numFmtId="167" formatCode="0.00;[Red]0.00"/>
    <numFmt numFmtId="168" formatCode="0.0;[Red]0.0"/>
  </numFmts>
  <fonts count="47" x14ac:knownFonts="1">
    <font>
      <sz val="11"/>
      <color theme="1"/>
      <name val="Arial"/>
      <family val="2"/>
      <scheme val="minor"/>
    </font>
    <font>
      <sz val="11"/>
      <color theme="1"/>
      <name val="Arial"/>
      <family val="2"/>
      <charset val="178"/>
      <scheme val="minor"/>
    </font>
    <font>
      <sz val="11"/>
      <color theme="1"/>
      <name val="Arial"/>
      <family val="2"/>
      <charset val="178"/>
      <scheme val="minor"/>
    </font>
    <font>
      <sz val="12"/>
      <color theme="1"/>
      <name val="B Nazanin"/>
      <charset val="178"/>
    </font>
    <font>
      <sz val="14"/>
      <color theme="1"/>
      <name val="B Nazanin"/>
      <charset val="178"/>
    </font>
    <font>
      <b/>
      <sz val="12"/>
      <color theme="1"/>
      <name val="B Nazanin"/>
      <charset val="178"/>
    </font>
    <font>
      <b/>
      <sz val="12"/>
      <color theme="1"/>
      <name val="B Roya"/>
      <charset val="178"/>
    </font>
    <font>
      <b/>
      <sz val="14"/>
      <color theme="1"/>
      <name val="B Roya"/>
      <charset val="178"/>
    </font>
    <font>
      <b/>
      <sz val="16"/>
      <color theme="1"/>
      <name val="B Titr"/>
      <charset val="178"/>
    </font>
    <font>
      <b/>
      <sz val="12"/>
      <color theme="0"/>
      <name val="B Nazanin"/>
      <charset val="178"/>
    </font>
    <font>
      <u/>
      <sz val="11"/>
      <color theme="10"/>
      <name val="Arial"/>
      <family val="2"/>
      <scheme val="minor"/>
    </font>
    <font>
      <sz val="14"/>
      <color theme="0"/>
      <name val="B Nazanin"/>
      <charset val="178"/>
    </font>
    <font>
      <b/>
      <sz val="11"/>
      <color theme="1"/>
      <name val="B Roya"/>
      <charset val="178"/>
    </font>
    <font>
      <b/>
      <sz val="9"/>
      <color theme="1"/>
      <name val="B Roya"/>
      <charset val="178"/>
    </font>
    <font>
      <b/>
      <sz val="12"/>
      <color theme="1"/>
      <name val="B Mitra"/>
      <charset val="178"/>
    </font>
    <font>
      <b/>
      <sz val="11"/>
      <color theme="1"/>
      <name val="B Nazanin"/>
      <charset val="178"/>
    </font>
    <font>
      <b/>
      <sz val="9"/>
      <color indexed="81"/>
      <name val="B Nazanin"/>
      <charset val="178"/>
    </font>
    <font>
      <sz val="9"/>
      <color indexed="81"/>
      <name val="B Nazanin"/>
      <charset val="178"/>
    </font>
    <font>
      <b/>
      <sz val="14"/>
      <color theme="1"/>
      <name val="B Nazanin"/>
      <charset val="178"/>
    </font>
    <font>
      <u/>
      <sz val="11"/>
      <color theme="10"/>
      <name val="Arial"/>
      <family val="2"/>
      <charset val="178"/>
      <scheme val="minor"/>
    </font>
    <font>
      <sz val="11"/>
      <color theme="1"/>
      <name val="B Nazanin"/>
      <charset val="178"/>
    </font>
    <font>
      <b/>
      <sz val="20"/>
      <color theme="1"/>
      <name val="B Roya"/>
      <charset val="178"/>
    </font>
    <font>
      <b/>
      <sz val="24"/>
      <color theme="1"/>
      <name val="B Roya"/>
      <charset val="178"/>
    </font>
    <font>
      <b/>
      <u/>
      <sz val="11"/>
      <color theme="10"/>
      <name val="Arial"/>
      <family val="2"/>
      <scheme val="minor"/>
    </font>
    <font>
      <b/>
      <sz val="11"/>
      <color theme="0"/>
      <name val="B Roya"/>
      <charset val="178"/>
    </font>
    <font>
      <b/>
      <sz val="12"/>
      <color theme="0"/>
      <name val="B Roya"/>
      <charset val="178"/>
    </font>
    <font>
      <b/>
      <u/>
      <sz val="13"/>
      <color theme="0"/>
      <name val="Calibri"/>
      <family val="2"/>
    </font>
    <font>
      <u/>
      <sz val="11"/>
      <color theme="0"/>
      <name val="Arial"/>
      <family val="2"/>
      <scheme val="minor"/>
    </font>
    <font>
      <sz val="16"/>
      <color theme="0"/>
      <name val="B Nazanin"/>
      <charset val="178"/>
    </font>
    <font>
      <sz val="14"/>
      <color rgb="FFFFFF00"/>
      <name val="B Nazanin"/>
      <charset val="178"/>
    </font>
    <font>
      <sz val="14"/>
      <color theme="9"/>
      <name val="B Nazanin"/>
      <charset val="178"/>
    </font>
    <font>
      <sz val="18"/>
      <color theme="0"/>
      <name val="B Nazanin"/>
      <charset val="178"/>
    </font>
    <font>
      <sz val="14"/>
      <color theme="4" tint="0.79998168889431442"/>
      <name val="B Nazanin"/>
      <charset val="178"/>
    </font>
    <font>
      <sz val="18"/>
      <color theme="0"/>
      <name val="B Mitra"/>
      <charset val="178"/>
    </font>
    <font>
      <b/>
      <sz val="11"/>
      <color theme="0"/>
      <name val="B Nazanin"/>
      <charset val="178"/>
    </font>
    <font>
      <b/>
      <sz val="16"/>
      <color theme="1"/>
      <name val="B Nazanin"/>
      <charset val="178"/>
    </font>
    <font>
      <sz val="16"/>
      <color theme="8" tint="-0.499984740745262"/>
      <name val="B Nazanin"/>
      <charset val="178"/>
    </font>
    <font>
      <b/>
      <sz val="11"/>
      <color theme="3" tint="-0.499984740745262"/>
      <name val="B Roya"/>
      <charset val="178"/>
    </font>
    <font>
      <b/>
      <sz val="11"/>
      <color theme="5" tint="-0.499984740745262"/>
      <name val="B Roya"/>
      <charset val="178"/>
    </font>
    <font>
      <sz val="10"/>
      <color theme="1"/>
      <name val="B Nazanin"/>
      <charset val="178"/>
    </font>
    <font>
      <u/>
      <sz val="11"/>
      <color theme="1"/>
      <name val="B Nazanin"/>
      <charset val="178"/>
    </font>
    <font>
      <sz val="11"/>
      <color rgb="FF7030A0"/>
      <name val="B Nazanin"/>
      <charset val="178"/>
    </font>
    <font>
      <b/>
      <sz val="10"/>
      <color theme="8" tint="-0.499984740745262"/>
      <name val="B Roya"/>
      <charset val="178"/>
    </font>
    <font>
      <b/>
      <sz val="10"/>
      <color theme="3" tint="-0.499984740745262"/>
      <name val="B Roya"/>
      <charset val="178"/>
    </font>
    <font>
      <b/>
      <sz val="10"/>
      <color theme="5" tint="-0.499984740745262"/>
      <name val="B Roya"/>
      <charset val="178"/>
    </font>
    <font>
      <b/>
      <sz val="11"/>
      <color theme="3" tint="-0.499984740745262"/>
      <name val="B Nazanin"/>
      <charset val="178"/>
    </font>
    <font>
      <sz val="8"/>
      <color theme="0"/>
      <name val="B Nazanin"/>
      <charset val="178"/>
    </font>
  </fonts>
  <fills count="4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7030A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2" tint="-0.749992370372631"/>
        <bgColor indexed="64"/>
      </patternFill>
    </fill>
    <fill>
      <patternFill patternType="solid">
        <fgColor theme="7" tint="0.59999389629810485"/>
        <bgColor theme="4" tint="0.79998168889431442"/>
      </patternFill>
    </fill>
    <fill>
      <patternFill patternType="solid">
        <fgColor theme="3" tint="0.7999816888943144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249977111117893"/>
        <bgColor indexed="64"/>
      </patternFill>
    </fill>
    <fill>
      <patternFill patternType="solid">
        <fgColor rgb="FF0070C0"/>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249977111117893"/>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49998474074526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rgb="FF92D050"/>
        <bgColor theme="4" tint="0.79998168889431442"/>
      </patternFill>
    </fill>
    <fill>
      <patternFill patternType="solid">
        <fgColor rgb="FF7030A0"/>
        <bgColor theme="4" tint="0.79998168889431442"/>
      </patternFill>
    </fill>
    <fill>
      <patternFill patternType="solid">
        <fgColor theme="3" tint="0.59999389629810485"/>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bottom/>
      <diagonal/>
    </border>
    <border>
      <left/>
      <right style="medium">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0" fontId="10" fillId="0" borderId="0" applyNumberFormat="0" applyFill="0" applyBorder="0" applyAlignment="0" applyProtection="0"/>
    <xf numFmtId="0" fontId="2" fillId="0" borderId="0"/>
    <xf numFmtId="0" fontId="19" fillId="0" borderId="0" applyNumberFormat="0" applyFill="0" applyBorder="0" applyAlignment="0" applyProtection="0"/>
    <xf numFmtId="0" fontId="1" fillId="0" borderId="0"/>
  </cellStyleXfs>
  <cellXfs count="645">
    <xf numFmtId="0" fontId="0" fillId="0" borderId="0" xfId="0"/>
    <xf numFmtId="0" fontId="4"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shrinkToFit="1"/>
    </xf>
    <xf numFmtId="0" fontId="5" fillId="13" borderId="2" xfId="0" applyFont="1" applyFill="1" applyBorder="1" applyAlignment="1" applyProtection="1">
      <alignment horizontal="right" shrinkToFit="1"/>
      <protection hidden="1"/>
    </xf>
    <xf numFmtId="0" fontId="5" fillId="13" borderId="4" xfId="0" applyFont="1" applyFill="1" applyBorder="1" applyAlignment="1" applyProtection="1">
      <alignment horizontal="right" shrinkToFit="1"/>
      <protection hidden="1"/>
    </xf>
    <xf numFmtId="0" fontId="5" fillId="13" borderId="6" xfId="0" applyFont="1" applyFill="1" applyBorder="1" applyAlignment="1" applyProtection="1">
      <alignment horizontal="right" shrinkToFit="1"/>
      <protection hidden="1"/>
    </xf>
    <xf numFmtId="2" fontId="9" fillId="20" borderId="3" xfId="0" applyNumberFormat="1" applyFont="1" applyFill="1" applyBorder="1" applyAlignment="1" applyProtection="1">
      <alignment horizontal="center" vertical="center"/>
      <protection hidden="1"/>
    </xf>
    <xf numFmtId="165" fontId="9" fillId="20" borderId="5" xfId="0" applyNumberFormat="1" applyFont="1" applyFill="1" applyBorder="1" applyAlignment="1" applyProtection="1">
      <alignment horizontal="center"/>
      <protection hidden="1"/>
    </xf>
    <xf numFmtId="0" fontId="0" fillId="0" borderId="0" xfId="0" applyProtection="1">
      <protection locked="0"/>
    </xf>
    <xf numFmtId="0" fontId="6" fillId="17" borderId="15" xfId="0" applyFont="1" applyFill="1" applyBorder="1" applyAlignment="1" applyProtection="1">
      <alignment horizontal="right" vertical="center" shrinkToFit="1"/>
      <protection hidden="1"/>
    </xf>
    <xf numFmtId="165" fontId="5" fillId="0" borderId="16" xfId="0" applyNumberFormat="1" applyFont="1" applyBorder="1" applyAlignment="1" applyProtection="1">
      <alignment horizontal="center" vertical="center"/>
      <protection hidden="1"/>
    </xf>
    <xf numFmtId="0" fontId="6" fillId="17" borderId="4" xfId="0" applyFont="1" applyFill="1" applyBorder="1" applyAlignment="1" applyProtection="1">
      <alignment horizontal="right" vertical="center" shrinkToFit="1"/>
      <protection hidden="1"/>
    </xf>
    <xf numFmtId="165" fontId="5" fillId="0" borderId="5" xfId="0" applyNumberFormat="1" applyFont="1" applyBorder="1" applyAlignment="1" applyProtection="1">
      <alignment horizontal="center" vertical="center"/>
      <protection hidden="1"/>
    </xf>
    <xf numFmtId="0" fontId="6" fillId="17" borderId="13" xfId="0" applyFont="1" applyFill="1" applyBorder="1" applyAlignment="1" applyProtection="1">
      <alignment horizontal="right" vertical="center" shrinkToFit="1"/>
      <protection hidden="1"/>
    </xf>
    <xf numFmtId="165" fontId="5" fillId="0" borderId="14" xfId="0" applyNumberFormat="1" applyFont="1" applyBorder="1" applyAlignment="1" applyProtection="1">
      <alignment horizontal="center" vertical="center"/>
      <protection hidden="1"/>
    </xf>
    <xf numFmtId="0" fontId="6" fillId="11" borderId="19" xfId="0" applyFont="1" applyFill="1" applyBorder="1" applyAlignment="1" applyProtection="1">
      <alignment horizontal="right" vertical="center" shrinkToFit="1"/>
      <protection hidden="1"/>
    </xf>
    <xf numFmtId="165" fontId="5" fillId="11" borderId="21" xfId="0" applyNumberFormat="1" applyFont="1" applyFill="1" applyBorder="1" applyAlignment="1" applyProtection="1">
      <alignment horizontal="center" vertical="center"/>
      <protection hidden="1"/>
    </xf>
    <xf numFmtId="0" fontId="4" fillId="0" borderId="0" xfId="0" applyFont="1" applyAlignment="1" applyProtection="1">
      <alignment horizontal="center"/>
      <protection hidden="1"/>
    </xf>
    <xf numFmtId="0" fontId="4" fillId="14" borderId="41" xfId="0" applyFont="1" applyFill="1" applyBorder="1" applyAlignment="1" applyProtection="1">
      <alignment horizontal="center"/>
      <protection hidden="1"/>
    </xf>
    <xf numFmtId="0" fontId="4" fillId="0" borderId="41" xfId="0" applyFont="1" applyBorder="1" applyAlignment="1" applyProtection="1">
      <alignment horizontal="center"/>
      <protection hidden="1"/>
    </xf>
    <xf numFmtId="164" fontId="4" fillId="0" borderId="37" xfId="0" applyNumberFormat="1" applyFont="1" applyBorder="1" applyAlignment="1" applyProtection="1">
      <alignment horizontal="center"/>
      <protection hidden="1"/>
    </xf>
    <xf numFmtId="0" fontId="4" fillId="0" borderId="1"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19" xfId="0" applyFont="1" applyBorder="1" applyAlignment="1" applyProtection="1">
      <alignment horizontal="center"/>
      <protection hidden="1"/>
    </xf>
    <xf numFmtId="0" fontId="4" fillId="0" borderId="20" xfId="0" applyFont="1" applyBorder="1" applyAlignment="1" applyProtection="1">
      <alignment horizontal="center"/>
      <protection hidden="1"/>
    </xf>
    <xf numFmtId="0" fontId="4" fillId="0" borderId="21" xfId="0" applyFont="1" applyBorder="1" applyAlignment="1" applyProtection="1">
      <alignment horizontal="center"/>
      <protection hidden="1"/>
    </xf>
    <xf numFmtId="0" fontId="4" fillId="0" borderId="2" xfId="0" applyFont="1" applyBorder="1" applyAlignment="1" applyProtection="1">
      <alignment horizontal="center"/>
      <protection hidden="1"/>
    </xf>
    <xf numFmtId="164" fontId="4" fillId="0" borderId="43" xfId="0" applyNumberFormat="1" applyFont="1" applyBorder="1" applyAlignment="1" applyProtection="1">
      <alignment horizontal="center"/>
      <protection hidden="1"/>
    </xf>
    <xf numFmtId="0" fontId="4" fillId="0" borderId="3" xfId="0" applyFont="1" applyBorder="1" applyAlignment="1" applyProtection="1">
      <alignment horizontal="center"/>
      <protection hidden="1"/>
    </xf>
    <xf numFmtId="0" fontId="4" fillId="14" borderId="42" xfId="0" applyFont="1" applyFill="1" applyBorder="1" applyAlignment="1" applyProtection="1">
      <alignment horizontal="center"/>
      <protection hidden="1"/>
    </xf>
    <xf numFmtId="0" fontId="4" fillId="0" borderId="51" xfId="0" applyFont="1" applyBorder="1" applyAlignment="1" applyProtection="1">
      <alignment horizontal="center"/>
      <protection hidden="1"/>
    </xf>
    <xf numFmtId="164" fontId="4" fillId="0" borderId="39" xfId="0" applyNumberFormat="1" applyFont="1" applyBorder="1" applyAlignment="1" applyProtection="1">
      <alignment horizontal="center"/>
      <protection hidden="1"/>
    </xf>
    <xf numFmtId="164" fontId="4" fillId="0" borderId="1" xfId="0" applyNumberFormat="1"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8" xfId="0" applyFont="1" applyBorder="1" applyAlignment="1" applyProtection="1">
      <alignment horizontal="center"/>
      <protection hidden="1"/>
    </xf>
    <xf numFmtId="0" fontId="4" fillId="0" borderId="46" xfId="0" applyFont="1" applyBorder="1" applyAlignment="1" applyProtection="1">
      <alignment horizontal="center"/>
      <protection hidden="1"/>
    </xf>
    <xf numFmtId="0" fontId="4" fillId="0" borderId="4" xfId="0" applyFont="1" applyBorder="1" applyAlignment="1" applyProtection="1">
      <alignment horizontal="center"/>
      <protection hidden="1"/>
    </xf>
    <xf numFmtId="164" fontId="4" fillId="0" borderId="5" xfId="0" applyNumberFormat="1" applyFont="1" applyBorder="1" applyAlignment="1" applyProtection="1">
      <alignment horizontal="center"/>
      <protection hidden="1"/>
    </xf>
    <xf numFmtId="0" fontId="4" fillId="3" borderId="38" xfId="0" applyFont="1" applyFill="1" applyBorder="1" applyAlignment="1" applyProtection="1">
      <alignment horizontal="center"/>
      <protection hidden="1"/>
    </xf>
    <xf numFmtId="0" fontId="4" fillId="15" borderId="41" xfId="0" applyFont="1" applyFill="1" applyBorder="1" applyAlignment="1" applyProtection="1">
      <alignment horizontal="center"/>
      <protection hidden="1"/>
    </xf>
    <xf numFmtId="0" fontId="4" fillId="2" borderId="1" xfId="0" applyFont="1" applyFill="1" applyBorder="1" applyAlignment="1" applyProtection="1">
      <alignment horizontal="center"/>
      <protection hidden="1"/>
    </xf>
    <xf numFmtId="0" fontId="4" fillId="3" borderId="24" xfId="0" applyFont="1" applyFill="1" applyBorder="1" applyAlignment="1" applyProtection="1">
      <alignment horizontal="center"/>
      <protection hidden="1"/>
    </xf>
    <xf numFmtId="0" fontId="4" fillId="15" borderId="53" xfId="0" applyFont="1" applyFill="1" applyBorder="1" applyAlignment="1" applyProtection="1">
      <alignment horizontal="center"/>
      <protection hidden="1"/>
    </xf>
    <xf numFmtId="0" fontId="4" fillId="3" borderId="19" xfId="0" applyFont="1" applyFill="1" applyBorder="1" applyAlignment="1" applyProtection="1">
      <alignment horizontal="center"/>
      <protection hidden="1"/>
    </xf>
    <xf numFmtId="0" fontId="4" fillId="3" borderId="21" xfId="0" applyFont="1" applyFill="1" applyBorder="1" applyAlignment="1" applyProtection="1">
      <alignment horizontal="center"/>
      <protection hidden="1"/>
    </xf>
    <xf numFmtId="0" fontId="4" fillId="16" borderId="57" xfId="0" applyFont="1" applyFill="1" applyBorder="1" applyAlignment="1" applyProtection="1">
      <alignment horizontal="center"/>
      <protection hidden="1"/>
    </xf>
    <xf numFmtId="0" fontId="4" fillId="0" borderId="40" xfId="0" applyFont="1" applyBorder="1" applyAlignment="1" applyProtection="1">
      <alignment horizontal="center"/>
      <protection hidden="1"/>
    </xf>
    <xf numFmtId="0" fontId="4" fillId="16" borderId="39" xfId="0" applyFont="1" applyFill="1" applyBorder="1" applyAlignment="1" applyProtection="1">
      <alignment horizontal="center"/>
      <protection hidden="1"/>
    </xf>
    <xf numFmtId="0" fontId="4" fillId="13" borderId="4" xfId="0" applyFont="1" applyFill="1" applyBorder="1" applyAlignment="1" applyProtection="1">
      <alignment horizontal="center"/>
      <protection hidden="1"/>
    </xf>
    <xf numFmtId="0" fontId="4" fillId="0" borderId="0" xfId="0" applyFont="1" applyBorder="1" applyAlignment="1" applyProtection="1">
      <alignment horizontal="center"/>
      <protection hidden="1"/>
    </xf>
    <xf numFmtId="0" fontId="4" fillId="16" borderId="38" xfId="0" applyFont="1" applyFill="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22" xfId="0" applyFont="1" applyBorder="1" applyAlignment="1" applyProtection="1">
      <alignment horizontal="center"/>
      <protection hidden="1"/>
    </xf>
    <xf numFmtId="0" fontId="4" fillId="0" borderId="47" xfId="0" applyFont="1" applyBorder="1" applyAlignment="1" applyProtection="1">
      <alignment horizontal="center"/>
      <protection hidden="1"/>
    </xf>
    <xf numFmtId="164" fontId="4" fillId="13" borderId="5" xfId="0" applyNumberFormat="1" applyFont="1" applyFill="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50" xfId="0" applyFont="1" applyBorder="1" applyAlignment="1" applyProtection="1">
      <alignment horizontal="center"/>
      <protection hidden="1"/>
    </xf>
    <xf numFmtId="168" fontId="4" fillId="9" borderId="1" xfId="0" applyNumberFormat="1" applyFont="1" applyFill="1" applyBorder="1" applyAlignment="1" applyProtection="1">
      <alignment horizontal="center"/>
      <protection hidden="1"/>
    </xf>
    <xf numFmtId="0" fontId="4" fillId="13" borderId="5" xfId="0" applyFont="1" applyFill="1" applyBorder="1" applyAlignment="1" applyProtection="1">
      <alignment horizontal="center"/>
      <protection hidden="1"/>
    </xf>
    <xf numFmtId="164" fontId="4" fillId="2" borderId="21" xfId="0" applyNumberFormat="1" applyFont="1" applyFill="1" applyBorder="1" applyAlignment="1" applyProtection="1">
      <alignment horizontal="center"/>
      <protection hidden="1"/>
    </xf>
    <xf numFmtId="164" fontId="4" fillId="0" borderId="10" xfId="0" applyNumberFormat="1"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9" borderId="1" xfId="0" applyFont="1" applyFill="1" applyBorder="1" applyAlignment="1" applyProtection="1">
      <alignment horizontal="center"/>
      <protection hidden="1"/>
    </xf>
    <xf numFmtId="0" fontId="4" fillId="0" borderId="44" xfId="0" applyFont="1" applyBorder="1" applyAlignment="1" applyProtection="1">
      <alignment horizontal="center"/>
      <protection hidden="1"/>
    </xf>
    <xf numFmtId="0" fontId="4" fillId="0" borderId="7" xfId="0" applyFont="1" applyBorder="1" applyAlignment="1" applyProtection="1">
      <alignment horizontal="center"/>
      <protection hidden="1"/>
    </xf>
    <xf numFmtId="164" fontId="4" fillId="0" borderId="0" xfId="0" applyNumberFormat="1" applyFont="1" applyBorder="1" applyAlignment="1" applyProtection="1">
      <alignment horizontal="center"/>
      <protection hidden="1"/>
    </xf>
    <xf numFmtId="166" fontId="4" fillId="0" borderId="5" xfId="0" applyNumberFormat="1" applyFont="1" applyBorder="1" applyAlignment="1" applyProtection="1">
      <alignment horizontal="center"/>
      <protection hidden="1"/>
    </xf>
    <xf numFmtId="166" fontId="4" fillId="11" borderId="7" xfId="0" applyNumberFormat="1" applyFont="1" applyFill="1" applyBorder="1" applyAlignment="1" applyProtection="1">
      <alignment horizontal="center"/>
      <protection hidden="1"/>
    </xf>
    <xf numFmtId="0" fontId="4" fillId="8" borderId="21" xfId="0" applyFont="1" applyFill="1" applyBorder="1" applyAlignment="1" applyProtection="1">
      <alignment horizontal="center"/>
      <protection hidden="1"/>
    </xf>
    <xf numFmtId="166" fontId="4" fillId="0" borderId="37" xfId="0" applyNumberFormat="1" applyFont="1" applyBorder="1" applyAlignment="1" applyProtection="1">
      <alignment horizontal="center"/>
      <protection hidden="1"/>
    </xf>
    <xf numFmtId="0" fontId="4" fillId="0" borderId="5" xfId="0" applyFont="1" applyBorder="1" applyAlignment="1" applyProtection="1">
      <alignment horizontal="center"/>
      <protection hidden="1"/>
    </xf>
    <xf numFmtId="167" fontId="4" fillId="0" borderId="39" xfId="0" applyNumberFormat="1" applyFont="1" applyBorder="1" applyAlignment="1" applyProtection="1">
      <alignment horizontal="center"/>
      <protection hidden="1"/>
    </xf>
    <xf numFmtId="0" fontId="4" fillId="10" borderId="7" xfId="0" applyFont="1" applyFill="1" applyBorder="1" applyAlignment="1" applyProtection="1">
      <alignment horizontal="center"/>
      <protection hidden="1"/>
    </xf>
    <xf numFmtId="167" fontId="4" fillId="0" borderId="58" xfId="0" applyNumberFormat="1" applyFont="1" applyBorder="1" applyAlignment="1" applyProtection="1">
      <alignment horizontal="center"/>
      <protection hidden="1"/>
    </xf>
    <xf numFmtId="164" fontId="4" fillId="12" borderId="19" xfId="0" applyNumberFormat="1" applyFont="1" applyFill="1" applyBorder="1" applyAlignment="1" applyProtection="1">
      <alignment horizontal="center"/>
      <protection hidden="1"/>
    </xf>
    <xf numFmtId="165" fontId="4" fillId="12" borderId="21" xfId="0" applyNumberFormat="1" applyFont="1" applyFill="1" applyBorder="1" applyAlignment="1" applyProtection="1">
      <alignment horizont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shrinkToFit="1"/>
      <protection hidden="1"/>
    </xf>
    <xf numFmtId="0" fontId="3" fillId="0" borderId="0" xfId="0" applyFont="1" applyFill="1" applyBorder="1" applyAlignment="1" applyProtection="1">
      <alignment horizontal="center"/>
      <protection hidden="1"/>
    </xf>
    <xf numFmtId="0" fontId="4" fillId="10" borderId="21" xfId="0" applyFont="1" applyFill="1" applyBorder="1" applyAlignment="1" applyProtection="1">
      <alignment horizontal="center"/>
      <protection hidden="1"/>
    </xf>
    <xf numFmtId="0" fontId="4" fillId="0" borderId="52" xfId="0" applyFont="1" applyBorder="1" applyAlignment="1" applyProtection="1">
      <alignment horizontal="center"/>
      <protection hidden="1"/>
    </xf>
    <xf numFmtId="0" fontId="3" fillId="0" borderId="0" xfId="0" applyFont="1" applyBorder="1" applyAlignment="1" applyProtection="1">
      <alignment horizontal="center" vertical="center"/>
      <protection hidden="1"/>
    </xf>
    <xf numFmtId="0" fontId="4" fillId="0" borderId="6" xfId="0" applyFont="1" applyBorder="1" applyAlignment="1" applyProtection="1">
      <alignment horizontal="center"/>
      <protection hidden="1"/>
    </xf>
    <xf numFmtId="0" fontId="4" fillId="2" borderId="56" xfId="0" applyFont="1" applyFill="1" applyBorder="1" applyAlignment="1" applyProtection="1">
      <alignment horizontal="center"/>
      <protection hidden="1"/>
    </xf>
    <xf numFmtId="164" fontId="3" fillId="0" borderId="0" xfId="0" applyNumberFormat="1" applyFont="1" applyBorder="1" applyAlignment="1" applyProtection="1">
      <alignment horizontal="center" vertical="center"/>
      <protection hidden="1"/>
    </xf>
    <xf numFmtId="0" fontId="5" fillId="13" borderId="4" xfId="0" applyFont="1" applyFill="1" applyBorder="1" applyAlignment="1" applyProtection="1">
      <alignment horizontal="right" vertical="center" shrinkToFit="1"/>
      <protection hidden="1"/>
    </xf>
    <xf numFmtId="0" fontId="3" fillId="0" borderId="1" xfId="0" applyFont="1" applyBorder="1" applyAlignment="1" applyProtection="1">
      <alignment horizontal="center" vertical="center" shrinkToFit="1"/>
      <protection hidden="1"/>
    </xf>
    <xf numFmtId="164" fontId="4" fillId="0" borderId="18" xfId="0" applyNumberFormat="1" applyFont="1" applyBorder="1" applyAlignment="1" applyProtection="1">
      <alignment horizontal="center"/>
      <protection hidden="1"/>
    </xf>
    <xf numFmtId="164" fontId="4" fillId="0" borderId="38" xfId="0" applyNumberFormat="1" applyFont="1" applyBorder="1" applyAlignment="1" applyProtection="1">
      <alignment horizontal="center"/>
      <protection hidden="1"/>
    </xf>
    <xf numFmtId="0" fontId="0" fillId="0" borderId="0" xfId="0" applyProtection="1">
      <protection hidden="1"/>
    </xf>
    <xf numFmtId="0" fontId="6" fillId="5" borderId="23" xfId="0" applyFont="1" applyFill="1" applyBorder="1" applyAlignment="1" applyProtection="1">
      <alignment horizontal="center" vertical="center"/>
      <protection hidden="1"/>
    </xf>
    <xf numFmtId="0" fontId="5" fillId="0" borderId="31" xfId="0" applyFont="1" applyBorder="1" applyAlignment="1" applyProtection="1">
      <alignment horizontal="right" vertical="center" shrinkToFit="1"/>
      <protection hidden="1"/>
    </xf>
    <xf numFmtId="165" fontId="5" fillId="0" borderId="25" xfId="0" applyNumberFormat="1" applyFont="1" applyBorder="1" applyAlignment="1" applyProtection="1">
      <alignment horizontal="center" vertical="center"/>
      <protection hidden="1"/>
    </xf>
    <xf numFmtId="0" fontId="5" fillId="0" borderId="32" xfId="0" applyFont="1" applyBorder="1" applyAlignment="1" applyProtection="1">
      <alignment horizontal="right" vertical="center" shrinkToFit="1"/>
      <protection hidden="1"/>
    </xf>
    <xf numFmtId="165" fontId="5" fillId="0" borderId="0" xfId="0" applyNumberFormat="1" applyFont="1" applyBorder="1" applyAlignment="1" applyProtection="1">
      <alignment horizontal="center" vertical="center"/>
      <protection hidden="1"/>
    </xf>
    <xf numFmtId="3" fontId="5" fillId="0" borderId="0" xfId="0" applyNumberFormat="1"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5" fillId="3" borderId="23" xfId="0" applyFont="1" applyFill="1" applyBorder="1" applyAlignment="1" applyProtection="1">
      <alignment horizontal="center" vertical="center" shrinkToFit="1"/>
      <protection hidden="1"/>
    </xf>
    <xf numFmtId="165" fontId="5" fillId="3" borderId="23" xfId="0" applyNumberFormat="1" applyFont="1" applyFill="1" applyBorder="1" applyAlignment="1" applyProtection="1">
      <alignment horizontal="center" vertical="center"/>
      <protection hidden="1"/>
    </xf>
    <xf numFmtId="0" fontId="4" fillId="0" borderId="1"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0" borderId="1" xfId="0" applyFont="1" applyBorder="1" applyAlignment="1">
      <alignment horizontal="center"/>
    </xf>
    <xf numFmtId="0" fontId="4" fillId="0" borderId="2" xfId="0" applyFont="1" applyBorder="1" applyAlignment="1">
      <alignment horizontal="center"/>
    </xf>
    <xf numFmtId="0" fontId="4" fillId="0" borderId="43"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4" xfId="0" applyFont="1" applyBorder="1" applyAlignment="1" applyProtection="1">
      <alignment horizontal="center" shrinkToFit="1"/>
      <protection hidden="1"/>
    </xf>
    <xf numFmtId="0" fontId="11" fillId="6" borderId="22" xfId="0" applyFont="1" applyFill="1" applyBorder="1" applyAlignment="1" applyProtection="1">
      <alignment horizontal="center"/>
      <protection hidden="1"/>
    </xf>
    <xf numFmtId="0" fontId="14" fillId="13" borderId="2" xfId="0" applyFont="1" applyFill="1" applyBorder="1" applyAlignment="1" applyProtection="1">
      <alignment horizontal="center" vertical="center" shrinkToFit="1"/>
      <protection hidden="1"/>
    </xf>
    <xf numFmtId="0" fontId="14" fillId="13" borderId="4" xfId="0" applyFont="1" applyFill="1" applyBorder="1" applyAlignment="1" applyProtection="1">
      <alignment horizontal="center" shrinkToFit="1"/>
      <protection hidden="1"/>
    </xf>
    <xf numFmtId="0" fontId="14" fillId="13" borderId="4" xfId="0" applyFont="1" applyFill="1" applyBorder="1" applyAlignment="1" applyProtection="1">
      <alignment horizontal="center" vertical="center" shrinkToFit="1"/>
      <protection hidden="1"/>
    </xf>
    <xf numFmtId="0" fontId="14" fillId="13" borderId="6" xfId="0" applyFont="1" applyFill="1" applyBorder="1" applyAlignment="1" applyProtection="1">
      <alignment horizontal="center" vertical="center" shrinkToFit="1"/>
      <protection hidden="1"/>
    </xf>
    <xf numFmtId="0" fontId="4" fillId="2" borderId="1" xfId="0" applyFont="1" applyFill="1" applyBorder="1" applyAlignment="1" applyProtection="1">
      <alignment horizontal="center" shrinkToFit="1"/>
      <protection hidden="1"/>
    </xf>
    <xf numFmtId="165" fontId="4" fillId="0" borderId="0" xfId="0" applyNumberFormat="1" applyFont="1" applyFill="1" applyBorder="1" applyAlignment="1" applyProtection="1">
      <alignment horizontal="center"/>
      <protection hidden="1"/>
    </xf>
    <xf numFmtId="3" fontId="15" fillId="0" borderId="0" xfId="0" applyNumberFormat="1" applyFont="1" applyFill="1" applyBorder="1" applyAlignment="1" applyProtection="1">
      <alignment horizontal="right" vertical="center"/>
      <protection hidden="1"/>
    </xf>
    <xf numFmtId="3" fontId="5" fillId="21" borderId="1" xfId="0" applyNumberFormat="1" applyFont="1" applyFill="1" applyBorder="1" applyAlignment="1" applyProtection="1">
      <alignment horizontal="center" vertical="center"/>
      <protection hidden="1"/>
    </xf>
    <xf numFmtId="0" fontId="5" fillId="21" borderId="1" xfId="0" applyNumberFormat="1" applyFont="1" applyFill="1" applyBorder="1" applyAlignment="1" applyProtection="1">
      <alignment horizontal="center" vertical="center"/>
      <protection hidden="1"/>
    </xf>
    <xf numFmtId="3" fontId="5" fillId="21" borderId="5" xfId="0" applyNumberFormat="1" applyFont="1" applyFill="1" applyBorder="1" applyAlignment="1" applyProtection="1">
      <alignment horizontal="center" vertical="center"/>
      <protection hidden="1"/>
    </xf>
    <xf numFmtId="0" fontId="4" fillId="3" borderId="57" xfId="0" applyFont="1" applyFill="1" applyBorder="1" applyAlignment="1" applyProtection="1">
      <alignment horizontal="center"/>
      <protection hidden="1"/>
    </xf>
    <xf numFmtId="0" fontId="4" fillId="3" borderId="59" xfId="0" applyFont="1" applyFill="1" applyBorder="1" applyAlignment="1" applyProtection="1">
      <alignment horizontal="center"/>
      <protection hidden="1"/>
    </xf>
    <xf numFmtId="0" fontId="4" fillId="0" borderId="37" xfId="0" applyFont="1" applyBorder="1" applyAlignment="1" applyProtection="1">
      <alignment horizontal="center"/>
      <protection hidden="1"/>
    </xf>
    <xf numFmtId="0" fontId="4" fillId="0" borderId="38" xfId="0" applyFont="1" applyBorder="1" applyAlignment="1" applyProtection="1">
      <alignment horizontal="center"/>
      <protection hidden="1"/>
    </xf>
    <xf numFmtId="9" fontId="4" fillId="22" borderId="43" xfId="0" applyNumberFormat="1" applyFont="1" applyFill="1" applyBorder="1" applyAlignment="1">
      <alignment horizontal="center"/>
    </xf>
    <xf numFmtId="165" fontId="4" fillId="22" borderId="43" xfId="0" applyNumberFormat="1" applyFont="1" applyFill="1" applyBorder="1" applyAlignment="1">
      <alignment horizontal="center"/>
    </xf>
    <xf numFmtId="165" fontId="4" fillId="22" borderId="3" xfId="0" applyNumberFormat="1" applyFont="1" applyFill="1" applyBorder="1" applyAlignment="1">
      <alignment horizontal="center"/>
    </xf>
    <xf numFmtId="9" fontId="4" fillId="22" borderId="1" xfId="0" applyNumberFormat="1" applyFont="1" applyFill="1" applyBorder="1" applyAlignment="1">
      <alignment horizontal="center"/>
    </xf>
    <xf numFmtId="165" fontId="4" fillId="22" borderId="1" xfId="0" applyNumberFormat="1" applyFont="1" applyFill="1" applyBorder="1" applyAlignment="1">
      <alignment horizontal="center"/>
    </xf>
    <xf numFmtId="165" fontId="4" fillId="22" borderId="5" xfId="0" applyNumberFormat="1" applyFont="1" applyFill="1" applyBorder="1" applyAlignment="1">
      <alignment horizontal="center"/>
    </xf>
    <xf numFmtId="0" fontId="4" fillId="22" borderId="44" xfId="0" applyFont="1" applyFill="1" applyBorder="1" applyAlignment="1">
      <alignment horizontal="center"/>
    </xf>
    <xf numFmtId="0" fontId="4" fillId="23" borderId="44" xfId="0" applyFont="1" applyFill="1" applyBorder="1" applyAlignment="1">
      <alignment horizontal="center"/>
    </xf>
    <xf numFmtId="165" fontId="4" fillId="23" borderId="7" xfId="0" applyNumberFormat="1" applyFont="1" applyFill="1" applyBorder="1" applyAlignment="1">
      <alignment horizontal="center"/>
    </xf>
    <xf numFmtId="3" fontId="4" fillId="0" borderId="0" xfId="0" applyNumberFormat="1" applyFont="1" applyBorder="1" applyAlignment="1" applyProtection="1">
      <alignment horizontal="center"/>
      <protection hidden="1"/>
    </xf>
    <xf numFmtId="3" fontId="5" fillId="17" borderId="1" xfId="0" applyNumberFormat="1" applyFont="1" applyFill="1" applyBorder="1" applyAlignment="1" applyProtection="1">
      <alignment horizontal="center" vertical="center"/>
      <protection hidden="1"/>
    </xf>
    <xf numFmtId="0" fontId="5" fillId="17" borderId="1" xfId="0" applyNumberFormat="1" applyFont="1" applyFill="1" applyBorder="1" applyAlignment="1" applyProtection="1">
      <alignment horizontal="center" vertical="center"/>
      <protection hidden="1"/>
    </xf>
    <xf numFmtId="3" fontId="5" fillId="17" borderId="5" xfId="0" applyNumberFormat="1" applyFont="1" applyFill="1" applyBorder="1" applyAlignment="1" applyProtection="1">
      <alignment horizontal="center" vertical="center"/>
      <protection hidden="1"/>
    </xf>
    <xf numFmtId="0" fontId="4" fillId="17" borderId="19" xfId="0" applyFont="1" applyFill="1" applyBorder="1" applyAlignment="1" applyProtection="1">
      <alignment horizontal="center"/>
      <protection hidden="1"/>
    </xf>
    <xf numFmtId="3" fontId="4" fillId="17" borderId="21" xfId="0" applyNumberFormat="1" applyFont="1" applyFill="1" applyBorder="1" applyAlignment="1" applyProtection="1">
      <alignment horizontal="center"/>
      <protection hidden="1"/>
    </xf>
    <xf numFmtId="0" fontId="4" fillId="5" borderId="50" xfId="0" applyFont="1" applyFill="1" applyBorder="1" applyAlignment="1" applyProtection="1">
      <alignment horizontal="center"/>
      <protection hidden="1"/>
    </xf>
    <xf numFmtId="165" fontId="4" fillId="0" borderId="1" xfId="0" applyNumberFormat="1" applyFont="1" applyBorder="1" applyAlignment="1" applyProtection="1">
      <alignment horizontal="center"/>
      <protection hidden="1"/>
    </xf>
    <xf numFmtId="164" fontId="4" fillId="0" borderId="0" xfId="0" applyNumberFormat="1" applyFont="1" applyBorder="1" applyAlignment="1">
      <alignment horizontal="center"/>
    </xf>
    <xf numFmtId="0" fontId="4" fillId="0" borderId="0" xfId="0" applyFont="1" applyBorder="1" applyAlignment="1">
      <alignment horizontal="center"/>
    </xf>
    <xf numFmtId="165" fontId="4" fillId="11" borderId="3" xfId="0" applyNumberFormat="1" applyFont="1" applyFill="1" applyBorder="1" applyAlignment="1" applyProtection="1">
      <alignment horizontal="center"/>
      <protection hidden="1"/>
    </xf>
    <xf numFmtId="165" fontId="4" fillId="11" borderId="14" xfId="0" applyNumberFormat="1" applyFont="1" applyFill="1" applyBorder="1" applyAlignment="1" applyProtection="1">
      <alignment horizontal="center"/>
      <protection hidden="1"/>
    </xf>
    <xf numFmtId="165" fontId="4" fillId="11" borderId="50" xfId="0" applyNumberFormat="1" applyFont="1" applyFill="1" applyBorder="1" applyAlignment="1" applyProtection="1">
      <alignment horizontal="center"/>
      <protection hidden="1"/>
    </xf>
    <xf numFmtId="165" fontId="4" fillId="25" borderId="21" xfId="0" applyNumberFormat="1" applyFont="1" applyFill="1" applyBorder="1" applyAlignment="1" applyProtection="1">
      <alignment horizontal="center"/>
      <protection hidden="1"/>
    </xf>
    <xf numFmtId="0" fontId="4" fillId="0" borderId="0" xfId="0" quotePrefix="1" applyFont="1" applyAlignment="1" applyProtection="1">
      <alignment horizontal="center"/>
      <protection hidden="1"/>
    </xf>
    <xf numFmtId="0" fontId="4" fillId="9" borderId="21" xfId="0" applyFont="1" applyFill="1" applyBorder="1" applyAlignment="1" applyProtection="1">
      <alignment horizontal="center"/>
      <protection hidden="1"/>
    </xf>
    <xf numFmtId="165" fontId="4" fillId="2" borderId="2" xfId="0" applyNumberFormat="1" applyFont="1" applyFill="1" applyBorder="1" applyAlignment="1" applyProtection="1">
      <alignment horizontal="center"/>
      <protection hidden="1"/>
    </xf>
    <xf numFmtId="165" fontId="4" fillId="2" borderId="43" xfId="0" applyNumberFormat="1" applyFont="1" applyFill="1" applyBorder="1" applyAlignment="1" applyProtection="1">
      <alignment horizontal="center"/>
      <protection hidden="1"/>
    </xf>
    <xf numFmtId="0" fontId="4" fillId="2" borderId="3" xfId="0" applyFont="1" applyFill="1" applyBorder="1" applyAlignment="1" applyProtection="1">
      <alignment horizontal="center"/>
      <protection hidden="1"/>
    </xf>
    <xf numFmtId="165" fontId="4" fillId="2" borderId="4" xfId="0" applyNumberFormat="1" applyFont="1" applyFill="1" applyBorder="1" applyAlignment="1" applyProtection="1">
      <alignment horizontal="center"/>
      <protection hidden="1"/>
    </xf>
    <xf numFmtId="165" fontId="4" fillId="2" borderId="1" xfId="0" applyNumberFormat="1" applyFont="1" applyFill="1" applyBorder="1" applyAlignment="1" applyProtection="1">
      <alignment horizontal="center"/>
      <protection hidden="1"/>
    </xf>
    <xf numFmtId="0" fontId="4" fillId="2" borderId="5" xfId="0" applyFont="1" applyFill="1" applyBorder="1" applyAlignment="1" applyProtection="1">
      <alignment horizontal="center"/>
      <protection hidden="1"/>
    </xf>
    <xf numFmtId="165" fontId="4" fillId="2" borderId="13" xfId="0" applyNumberFormat="1" applyFont="1" applyFill="1" applyBorder="1" applyAlignment="1" applyProtection="1">
      <alignment horizontal="center"/>
      <protection hidden="1"/>
    </xf>
    <xf numFmtId="165" fontId="4" fillId="2" borderId="22" xfId="0" applyNumberFormat="1" applyFont="1" applyFill="1" applyBorder="1" applyAlignment="1" applyProtection="1">
      <alignment horizontal="center"/>
      <protection hidden="1"/>
    </xf>
    <xf numFmtId="0" fontId="4" fillId="2" borderId="14" xfId="0" applyFont="1" applyFill="1" applyBorder="1" applyAlignment="1" applyProtection="1">
      <alignment horizontal="center"/>
      <protection hidden="1"/>
    </xf>
    <xf numFmtId="0" fontId="4" fillId="5" borderId="2" xfId="0" applyFont="1" applyFill="1" applyBorder="1" applyAlignment="1" applyProtection="1">
      <alignment horizontal="center"/>
      <protection hidden="1"/>
    </xf>
    <xf numFmtId="165" fontId="4" fillId="5" borderId="43" xfId="0" applyNumberFormat="1" applyFont="1" applyFill="1" applyBorder="1" applyAlignment="1" applyProtection="1">
      <alignment horizontal="center"/>
      <protection hidden="1"/>
    </xf>
    <xf numFmtId="0" fontId="4" fillId="5" borderId="3" xfId="0" applyFont="1" applyFill="1" applyBorder="1" applyAlignment="1" applyProtection="1">
      <alignment horizontal="center"/>
      <protection hidden="1"/>
    </xf>
    <xf numFmtId="0" fontId="4" fillId="5" borderId="4" xfId="0" applyFont="1" applyFill="1" applyBorder="1" applyAlignment="1" applyProtection="1">
      <alignment horizontal="center"/>
      <protection hidden="1"/>
    </xf>
    <xf numFmtId="165" fontId="4" fillId="5" borderId="1" xfId="0" applyNumberFormat="1" applyFont="1" applyFill="1" applyBorder="1" applyAlignment="1" applyProtection="1">
      <alignment horizontal="center"/>
      <protection hidden="1"/>
    </xf>
    <xf numFmtId="0" fontId="4" fillId="5" borderId="5" xfId="0" applyFont="1" applyFill="1" applyBorder="1" applyAlignment="1" applyProtection="1">
      <alignment horizontal="center"/>
      <protection hidden="1"/>
    </xf>
    <xf numFmtId="0" fontId="4" fillId="12" borderId="14" xfId="0" applyFont="1" applyFill="1" applyBorder="1" applyAlignment="1" applyProtection="1">
      <alignment horizontal="center"/>
      <protection hidden="1"/>
    </xf>
    <xf numFmtId="0" fontId="4" fillId="26" borderId="50" xfId="0" applyFont="1" applyFill="1" applyBorder="1" applyAlignment="1">
      <alignment horizontal="center"/>
    </xf>
    <xf numFmtId="0" fontId="4" fillId="24" borderId="21" xfId="0" applyFont="1" applyFill="1" applyBorder="1" applyAlignment="1">
      <alignment horizontal="center"/>
    </xf>
    <xf numFmtId="0" fontId="4" fillId="27" borderId="1" xfId="0" applyFont="1" applyFill="1" applyBorder="1" applyAlignment="1" applyProtection="1">
      <alignment horizontal="center"/>
      <protection hidden="1"/>
    </xf>
    <xf numFmtId="0" fontId="4" fillId="27" borderId="1" xfId="0" applyFont="1" applyFill="1" applyBorder="1" applyAlignment="1">
      <alignment horizontal="center"/>
    </xf>
    <xf numFmtId="0" fontId="4" fillId="27" borderId="4" xfId="0" applyFont="1" applyFill="1" applyBorder="1" applyAlignment="1" applyProtection="1">
      <alignment horizontal="center"/>
      <protection hidden="1"/>
    </xf>
    <xf numFmtId="0" fontId="4" fillId="27" borderId="5" xfId="0" applyFont="1" applyFill="1" applyBorder="1" applyAlignment="1" applyProtection="1">
      <alignment horizontal="center"/>
      <protection hidden="1"/>
    </xf>
    <xf numFmtId="0" fontId="4" fillId="27" borderId="4" xfId="0" applyFont="1" applyFill="1" applyBorder="1" applyAlignment="1">
      <alignment horizontal="center"/>
    </xf>
    <xf numFmtId="0" fontId="4" fillId="27" borderId="5" xfId="0" applyFont="1" applyFill="1" applyBorder="1" applyAlignment="1">
      <alignment horizontal="center"/>
    </xf>
    <xf numFmtId="0" fontId="4" fillId="22" borderId="9" xfId="0" applyFont="1" applyFill="1" applyBorder="1" applyAlignment="1" applyProtection="1">
      <alignment horizontal="center"/>
      <protection hidden="1"/>
    </xf>
    <xf numFmtId="0" fontId="4" fillId="22" borderId="11" xfId="0" applyFont="1" applyFill="1" applyBorder="1" applyAlignment="1" applyProtection="1">
      <alignment horizontal="center"/>
      <protection hidden="1"/>
    </xf>
    <xf numFmtId="0" fontId="4" fillId="22" borderId="12" xfId="0" applyFont="1" applyFill="1" applyBorder="1" applyAlignment="1">
      <alignment horizontal="center"/>
    </xf>
    <xf numFmtId="0" fontId="4" fillId="11" borderId="9" xfId="0" applyFont="1" applyFill="1" applyBorder="1" applyAlignment="1">
      <alignment horizontal="center"/>
    </xf>
    <xf numFmtId="0" fontId="4" fillId="11" borderId="60" xfId="0" applyFont="1" applyFill="1" applyBorder="1" applyAlignment="1">
      <alignment horizontal="center"/>
    </xf>
    <xf numFmtId="0" fontId="4" fillId="11" borderId="60" xfId="0" applyFont="1" applyFill="1" applyBorder="1" applyAlignment="1">
      <alignment horizontal="center" shrinkToFit="1"/>
    </xf>
    <xf numFmtId="0" fontId="4" fillId="2" borderId="19" xfId="0" applyFont="1" applyFill="1" applyBorder="1" applyAlignment="1" applyProtection="1">
      <alignment horizontal="center"/>
      <protection hidden="1"/>
    </xf>
    <xf numFmtId="165" fontId="5" fillId="0" borderId="31" xfId="0" applyNumberFormat="1" applyFont="1" applyBorder="1" applyAlignment="1" applyProtection="1">
      <alignment horizontal="center"/>
      <protection hidden="1"/>
    </xf>
    <xf numFmtId="165" fontId="5" fillId="0" borderId="32" xfId="0" applyNumberFormat="1" applyFont="1" applyBorder="1" applyAlignment="1" applyProtection="1">
      <alignment horizontal="center"/>
      <protection hidden="1"/>
    </xf>
    <xf numFmtId="0" fontId="0" fillId="0" borderId="32" xfId="0" applyBorder="1"/>
    <xf numFmtId="165" fontId="5" fillId="0" borderId="33" xfId="0" applyNumberFormat="1" applyFont="1" applyBorder="1" applyAlignment="1" applyProtection="1">
      <alignment horizontal="center"/>
      <protection hidden="1"/>
    </xf>
    <xf numFmtId="0" fontId="5" fillId="13" borderId="0" xfId="0" applyFont="1" applyFill="1" applyBorder="1" applyAlignment="1" applyProtection="1">
      <alignment horizontal="right" shrinkToFit="1"/>
      <protection hidden="1"/>
    </xf>
    <xf numFmtId="3" fontId="15" fillId="21" borderId="4" xfId="0" applyNumberFormat="1" applyFont="1" applyFill="1" applyBorder="1" applyAlignment="1" applyProtection="1">
      <alignment horizontal="right" vertical="center"/>
      <protection hidden="1"/>
    </xf>
    <xf numFmtId="3" fontId="15" fillId="17" borderId="4" xfId="0" applyNumberFormat="1" applyFont="1" applyFill="1" applyBorder="1" applyAlignment="1" applyProtection="1">
      <alignment horizontal="right" vertical="center"/>
      <protection hidden="1"/>
    </xf>
    <xf numFmtId="3" fontId="15" fillId="21" borderId="6" xfId="0" applyNumberFormat="1" applyFont="1" applyFill="1" applyBorder="1" applyAlignment="1" applyProtection="1">
      <alignment horizontal="right" vertical="center"/>
      <protection hidden="1"/>
    </xf>
    <xf numFmtId="0" fontId="4" fillId="18" borderId="18" xfId="0" applyFont="1" applyFill="1" applyBorder="1" applyAlignment="1" applyProtection="1">
      <alignment horizontal="center"/>
      <protection hidden="1"/>
    </xf>
    <xf numFmtId="165" fontId="4" fillId="18" borderId="18" xfId="0" applyNumberFormat="1" applyFont="1" applyFill="1" applyBorder="1" applyAlignment="1" applyProtection="1">
      <alignment horizontal="center"/>
      <protection hidden="1"/>
    </xf>
    <xf numFmtId="165" fontId="20" fillId="2" borderId="21" xfId="0" applyNumberFormat="1" applyFont="1" applyFill="1" applyBorder="1" applyAlignment="1" applyProtection="1">
      <alignment horizontal="center"/>
      <protection hidden="1"/>
    </xf>
    <xf numFmtId="0" fontId="8" fillId="0" borderId="17" xfId="0" applyFont="1" applyBorder="1" applyAlignment="1" applyProtection="1">
      <alignment vertical="center"/>
      <protection hidden="1"/>
    </xf>
    <xf numFmtId="0" fontId="6" fillId="11" borderId="23" xfId="0" applyFont="1" applyFill="1" applyBorder="1" applyAlignment="1" applyProtection="1">
      <alignment horizontal="center" vertical="center"/>
      <protection hidden="1"/>
    </xf>
    <xf numFmtId="165" fontId="9" fillId="19" borderId="5" xfId="0" applyNumberFormat="1" applyFont="1" applyFill="1" applyBorder="1" applyAlignment="1" applyProtection="1">
      <alignment horizontal="center" vertical="center"/>
      <protection locked="0"/>
    </xf>
    <xf numFmtId="0" fontId="9" fillId="19" borderId="5" xfId="0" applyFont="1" applyFill="1" applyBorder="1" applyAlignment="1" applyProtection="1">
      <alignment horizontal="center" vertical="center"/>
      <protection locked="0"/>
    </xf>
    <xf numFmtId="0" fontId="9" fillId="19" borderId="3" xfId="0" applyFont="1" applyFill="1" applyBorder="1" applyAlignment="1" applyProtection="1">
      <alignment horizontal="center" vertical="center"/>
      <protection locked="0"/>
    </xf>
    <xf numFmtId="3" fontId="9" fillId="19" borderId="5" xfId="0" applyNumberFormat="1" applyFont="1" applyFill="1" applyBorder="1" applyAlignment="1" applyProtection="1">
      <alignment horizontal="center" vertical="center"/>
      <protection locked="0"/>
    </xf>
    <xf numFmtId="165" fontId="11" fillId="19" borderId="5" xfId="0" applyNumberFormat="1" applyFont="1" applyFill="1" applyBorder="1" applyAlignment="1" applyProtection="1">
      <alignment horizontal="center" shrinkToFit="1"/>
      <protection locked="0"/>
    </xf>
    <xf numFmtId="165" fontId="11" fillId="19" borderId="5" xfId="0" applyNumberFormat="1" applyFont="1" applyFill="1" applyBorder="1" applyAlignment="1" applyProtection="1">
      <alignment horizontal="center"/>
      <protection locked="0"/>
    </xf>
    <xf numFmtId="0" fontId="23" fillId="0" borderId="33" xfId="1" applyFont="1" applyBorder="1" applyAlignment="1" applyProtection="1">
      <alignment horizontal="center" vertical="center" shrinkToFit="1"/>
      <protection hidden="1"/>
    </xf>
    <xf numFmtId="165" fontId="4" fillId="0" borderId="1" xfId="0" applyNumberFormat="1" applyFont="1" applyBorder="1" applyAlignment="1">
      <alignment horizontal="center"/>
    </xf>
    <xf numFmtId="3" fontId="15" fillId="21" borderId="2" xfId="0" applyNumberFormat="1" applyFont="1" applyFill="1" applyBorder="1" applyAlignment="1" applyProtection="1">
      <alignment horizontal="right" vertical="center"/>
      <protection hidden="1"/>
    </xf>
    <xf numFmtId="165" fontId="4" fillId="0" borderId="43" xfId="0" applyNumberFormat="1" applyFont="1" applyBorder="1" applyAlignment="1">
      <alignment horizontal="center"/>
    </xf>
    <xf numFmtId="165" fontId="4" fillId="0" borderId="44" xfId="0" applyNumberFormat="1" applyFont="1" applyBorder="1" applyAlignment="1">
      <alignment horizontal="center"/>
    </xf>
    <xf numFmtId="0" fontId="4" fillId="0" borderId="44" xfId="0" applyFont="1" applyBorder="1" applyAlignment="1">
      <alignment horizontal="center"/>
    </xf>
    <xf numFmtId="0" fontId="4" fillId="0" borderId="7" xfId="0" applyFont="1" applyBorder="1" applyAlignment="1">
      <alignment horizontal="center"/>
    </xf>
    <xf numFmtId="0" fontId="4" fillId="0" borderId="4" xfId="0" applyFont="1" applyBorder="1" applyAlignment="1" applyProtection="1">
      <alignment horizontal="center"/>
      <protection hidden="1"/>
    </xf>
    <xf numFmtId="0" fontId="4" fillId="13" borderId="2" xfId="0" applyFont="1" applyFill="1" applyBorder="1" applyAlignment="1" applyProtection="1">
      <alignment horizontal="center"/>
      <protection hidden="1"/>
    </xf>
    <xf numFmtId="164" fontId="4" fillId="13" borderId="3" xfId="0" applyNumberFormat="1" applyFont="1" applyFill="1" applyBorder="1" applyAlignment="1" applyProtection="1">
      <alignment horizontal="center"/>
      <protection hidden="1"/>
    </xf>
    <xf numFmtId="165" fontId="4" fillId="0" borderId="5" xfId="0" applyNumberFormat="1" applyFont="1" applyBorder="1" applyAlignment="1" applyProtection="1">
      <alignment horizontal="center"/>
      <protection hidden="1"/>
    </xf>
    <xf numFmtId="0" fontId="4" fillId="0" borderId="6" xfId="0" applyFont="1" applyBorder="1" applyAlignment="1">
      <alignment horizontal="center"/>
    </xf>
    <xf numFmtId="0" fontId="4" fillId="0" borderId="1" xfId="0" applyFont="1" applyBorder="1" applyAlignment="1" applyProtection="1">
      <alignment horizontal="center"/>
      <protection hidden="1"/>
    </xf>
    <xf numFmtId="165" fontId="4" fillId="0" borderId="10" xfId="0" applyNumberFormat="1" applyFont="1" applyBorder="1" applyAlignment="1" applyProtection="1">
      <alignment horizontal="center"/>
      <protection hidden="1"/>
    </xf>
    <xf numFmtId="166" fontId="5" fillId="0" borderId="18" xfId="0" applyNumberFormat="1" applyFont="1" applyFill="1" applyBorder="1" applyAlignment="1" applyProtection="1">
      <alignment horizontal="center" vertical="center"/>
      <protection hidden="1"/>
    </xf>
    <xf numFmtId="166" fontId="5" fillId="0" borderId="1" xfId="0" applyNumberFormat="1" applyFont="1" applyFill="1" applyBorder="1" applyAlignment="1" applyProtection="1">
      <alignment horizontal="center" vertical="center"/>
      <protection hidden="1"/>
    </xf>
    <xf numFmtId="166" fontId="5" fillId="0" borderId="1" xfId="0" applyNumberFormat="1" applyFont="1" applyBorder="1" applyAlignment="1" applyProtection="1">
      <alignment horizontal="center" vertical="center"/>
      <protection hidden="1"/>
    </xf>
    <xf numFmtId="166" fontId="5" fillId="0" borderId="22" xfId="0" applyNumberFormat="1" applyFont="1" applyBorder="1" applyAlignment="1" applyProtection="1">
      <alignment horizontal="center" vertical="center"/>
      <protection hidden="1"/>
    </xf>
    <xf numFmtId="166" fontId="5" fillId="11" borderId="20" xfId="0" applyNumberFormat="1" applyFont="1" applyFill="1" applyBorder="1" applyAlignment="1" applyProtection="1">
      <alignment horizontal="center" vertical="center"/>
      <protection hidden="1"/>
    </xf>
    <xf numFmtId="164" fontId="4" fillId="0" borderId="22" xfId="0" applyNumberFormat="1" applyFont="1" applyBorder="1" applyAlignment="1" applyProtection="1">
      <alignment horizontal="center"/>
      <protection hidden="1"/>
    </xf>
    <xf numFmtId="164" fontId="4" fillId="0" borderId="44" xfId="0" applyNumberFormat="1" applyFont="1" applyBorder="1" applyAlignment="1" applyProtection="1">
      <alignment horizontal="center"/>
      <protection hidden="1"/>
    </xf>
    <xf numFmtId="0" fontId="4" fillId="0" borderId="0" xfId="0" applyFont="1" applyBorder="1" applyAlignment="1" applyProtection="1">
      <alignment horizontal="center"/>
      <protection hidden="1"/>
    </xf>
    <xf numFmtId="3" fontId="15" fillId="30" borderId="4" xfId="0" applyNumberFormat="1" applyFont="1" applyFill="1" applyBorder="1" applyAlignment="1" applyProtection="1">
      <alignment vertical="center"/>
      <protection hidden="1"/>
    </xf>
    <xf numFmtId="164" fontId="4" fillId="0" borderId="1" xfId="0" applyNumberFormat="1" applyFont="1" applyBorder="1" applyAlignment="1">
      <alignment horizontal="center"/>
    </xf>
    <xf numFmtId="3" fontId="15" fillId="30" borderId="2" xfId="0" applyNumberFormat="1" applyFont="1" applyFill="1" applyBorder="1" applyAlignment="1" applyProtection="1">
      <alignment vertical="center"/>
      <protection hidden="1"/>
    </xf>
    <xf numFmtId="164" fontId="4" fillId="0" borderId="43" xfId="0" applyNumberFormat="1" applyFont="1" applyBorder="1" applyAlignment="1">
      <alignment horizontal="center"/>
    </xf>
    <xf numFmtId="0" fontId="4" fillId="31" borderId="6" xfId="0" applyFont="1" applyFill="1" applyBorder="1" applyAlignment="1">
      <alignment horizontal="center"/>
    </xf>
    <xf numFmtId="0" fontId="0" fillId="0" borderId="0" xfId="0" applyBorder="1" applyProtection="1">
      <protection locked="0"/>
    </xf>
    <xf numFmtId="0" fontId="4" fillId="23" borderId="6" xfId="0" applyFont="1" applyFill="1" applyBorder="1" applyAlignment="1">
      <alignment horizontal="center"/>
    </xf>
    <xf numFmtId="165" fontId="4" fillId="0" borderId="3" xfId="0" applyNumberFormat="1" applyFont="1" applyBorder="1" applyAlignment="1">
      <alignment horizontal="center"/>
    </xf>
    <xf numFmtId="165" fontId="4" fillId="0" borderId="5" xfId="0" applyNumberFormat="1" applyFont="1" applyBorder="1" applyAlignment="1">
      <alignment horizontal="center"/>
    </xf>
    <xf numFmtId="165" fontId="9" fillId="19" borderId="10" xfId="0" applyNumberFormat="1" applyFont="1" applyFill="1" applyBorder="1" applyAlignment="1" applyProtection="1">
      <alignment horizontal="center" vertical="center"/>
      <protection locked="0"/>
    </xf>
    <xf numFmtId="0" fontId="9" fillId="19" borderId="10" xfId="0" applyFont="1" applyFill="1" applyBorder="1" applyAlignment="1" applyProtection="1">
      <alignment horizontal="center" vertical="center"/>
      <protection locked="0"/>
    </xf>
    <xf numFmtId="166" fontId="9" fillId="19" borderId="10" xfId="0" applyNumberFormat="1" applyFont="1" applyFill="1" applyBorder="1" applyAlignment="1" applyProtection="1">
      <alignment horizontal="center" vertical="center"/>
      <protection locked="0"/>
    </xf>
    <xf numFmtId="166" fontId="9" fillId="19" borderId="45" xfId="0" applyNumberFormat="1" applyFont="1" applyFill="1" applyBorder="1" applyAlignment="1" applyProtection="1">
      <alignment horizontal="center" vertical="center"/>
      <protection locked="0"/>
    </xf>
    <xf numFmtId="164" fontId="9" fillId="19" borderId="10" xfId="0" applyNumberFormat="1" applyFont="1" applyFill="1" applyBorder="1" applyAlignment="1" applyProtection="1">
      <alignment horizontal="center" vertical="center"/>
      <protection locked="0"/>
    </xf>
    <xf numFmtId="0" fontId="9" fillId="19" borderId="10" xfId="0" applyFont="1" applyFill="1" applyBorder="1" applyAlignment="1" applyProtection="1">
      <alignment horizontal="center" vertical="center" shrinkToFit="1"/>
      <protection locked="0"/>
    </xf>
    <xf numFmtId="167" fontId="9" fillId="19" borderId="10" xfId="0" applyNumberFormat="1" applyFont="1" applyFill="1" applyBorder="1" applyAlignment="1" applyProtection="1">
      <alignment horizontal="center" vertical="center"/>
      <protection locked="0"/>
    </xf>
    <xf numFmtId="2" fontId="9" fillId="19" borderId="10" xfId="0" applyNumberFormat="1" applyFont="1" applyFill="1" applyBorder="1" applyAlignment="1" applyProtection="1">
      <alignment horizontal="center" vertical="center"/>
      <protection locked="0"/>
    </xf>
    <xf numFmtId="0" fontId="9" fillId="19" borderId="8" xfId="0" applyNumberFormat="1" applyFont="1" applyFill="1" applyBorder="1" applyAlignment="1" applyProtection="1">
      <alignment horizontal="center" vertical="center" shrinkToFit="1"/>
      <protection locked="0"/>
    </xf>
    <xf numFmtId="165" fontId="9" fillId="20" borderId="10" xfId="0" applyNumberFormat="1" applyFont="1" applyFill="1" applyBorder="1" applyAlignment="1" applyProtection="1">
      <alignment horizontal="center" vertical="center"/>
      <protection hidden="1"/>
    </xf>
    <xf numFmtId="165" fontId="9" fillId="20" borderId="8" xfId="0" applyNumberFormat="1" applyFont="1" applyFill="1" applyBorder="1" applyAlignment="1" applyProtection="1">
      <alignment horizontal="center" vertical="center"/>
      <protection hidden="1"/>
    </xf>
    <xf numFmtId="165" fontId="9" fillId="20" borderId="3" xfId="0" applyNumberFormat="1" applyFont="1" applyFill="1" applyBorder="1" applyAlignment="1" applyProtection="1">
      <alignment horizontal="center" vertical="center"/>
      <protection hidden="1"/>
    </xf>
    <xf numFmtId="2" fontId="9" fillId="20" borderId="10" xfId="0" applyNumberFormat="1" applyFont="1" applyFill="1" applyBorder="1" applyAlignment="1" applyProtection="1">
      <alignment horizontal="center" vertical="center"/>
      <protection hidden="1"/>
    </xf>
    <xf numFmtId="0" fontId="5" fillId="13" borderId="60" xfId="0" applyFont="1" applyFill="1" applyBorder="1" applyAlignment="1" applyProtection="1">
      <alignment horizontal="right" shrinkToFit="1"/>
      <protection hidden="1"/>
    </xf>
    <xf numFmtId="165" fontId="9" fillId="19" borderId="14" xfId="0" applyNumberFormat="1"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protection hidden="1"/>
    </xf>
    <xf numFmtId="0" fontId="4" fillId="2" borderId="7" xfId="0" applyFont="1" applyFill="1" applyBorder="1" applyAlignment="1" applyProtection="1">
      <alignment horizontal="center"/>
      <protection hidden="1"/>
    </xf>
    <xf numFmtId="0" fontId="4" fillId="7" borderId="3" xfId="0" applyFont="1" applyFill="1" applyBorder="1" applyAlignment="1" applyProtection="1">
      <alignment horizontal="center"/>
      <protection hidden="1"/>
    </xf>
    <xf numFmtId="0" fontId="4" fillId="8" borderId="7" xfId="0" applyFont="1" applyFill="1" applyBorder="1" applyAlignment="1" applyProtection="1">
      <alignment horizontal="center"/>
      <protection hidden="1"/>
    </xf>
    <xf numFmtId="0" fontId="4" fillId="0" borderId="37" xfId="0" applyFont="1" applyBorder="1" applyAlignment="1">
      <alignment horizontal="center" shrinkToFit="1"/>
    </xf>
    <xf numFmtId="0" fontId="4" fillId="0" borderId="39" xfId="0" applyFont="1" applyBorder="1" applyAlignment="1">
      <alignment horizontal="center" shrinkToFit="1"/>
    </xf>
    <xf numFmtId="0" fontId="4" fillId="0" borderId="38" xfId="0" applyFont="1" applyBorder="1" applyAlignment="1">
      <alignment horizontal="center" shrinkToFit="1"/>
    </xf>
    <xf numFmtId="0" fontId="9" fillId="19" borderId="45" xfId="0" applyFont="1" applyFill="1" applyBorder="1" applyAlignment="1" applyProtection="1">
      <alignment horizontal="center" vertical="center" shrinkToFit="1"/>
      <protection locked="0"/>
    </xf>
    <xf numFmtId="0" fontId="4" fillId="0" borderId="1" xfId="0" applyFont="1" applyBorder="1" applyAlignment="1" applyProtection="1">
      <alignment horizontal="center"/>
      <protection hidden="1"/>
    </xf>
    <xf numFmtId="0" fontId="4" fillId="0" borderId="53"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0" borderId="6" xfId="0" applyFont="1" applyBorder="1" applyAlignment="1" applyProtection="1">
      <alignment horizontal="center"/>
      <protection hidden="1"/>
    </xf>
    <xf numFmtId="164" fontId="4" fillId="0" borderId="51" xfId="0" applyNumberFormat="1" applyFont="1" applyBorder="1" applyAlignment="1" applyProtection="1">
      <alignment horizontal="center"/>
      <protection hidden="1"/>
    </xf>
    <xf numFmtId="165" fontId="3" fillId="0" borderId="0" xfId="0" applyNumberFormat="1" applyFont="1" applyBorder="1" applyAlignment="1" applyProtection="1">
      <alignment vertical="center"/>
      <protection hidden="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165" fontId="3" fillId="0" borderId="34" xfId="0" applyNumberFormat="1" applyFont="1" applyBorder="1" applyAlignment="1" applyProtection="1">
      <alignment vertical="center"/>
      <protection hidden="1"/>
    </xf>
    <xf numFmtId="0" fontId="4" fillId="36" borderId="22" xfId="0" applyFont="1" applyFill="1" applyBorder="1" applyAlignment="1" applyProtection="1">
      <alignment horizontal="center"/>
      <protection hidden="1"/>
    </xf>
    <xf numFmtId="0" fontId="4" fillId="36" borderId="0" xfId="0" applyFont="1" applyFill="1" applyBorder="1" applyAlignment="1" applyProtection="1">
      <alignment horizontal="center"/>
      <protection hidden="1"/>
    </xf>
    <xf numFmtId="164" fontId="9" fillId="19" borderId="8" xfId="0" applyNumberFormat="1" applyFont="1" applyFill="1" applyBorder="1" applyAlignment="1" applyProtection="1">
      <alignment horizontal="center" vertical="center"/>
      <protection locked="0"/>
    </xf>
    <xf numFmtId="0" fontId="4" fillId="32" borderId="2" xfId="0" applyFont="1" applyFill="1" applyBorder="1" applyAlignment="1" applyProtection="1">
      <alignment horizontal="center"/>
      <protection hidden="1"/>
    </xf>
    <xf numFmtId="165" fontId="4" fillId="2" borderId="3" xfId="0" applyNumberFormat="1" applyFont="1" applyFill="1" applyBorder="1" applyAlignment="1" applyProtection="1">
      <alignment horizontal="center"/>
      <protection locked="0" hidden="1"/>
    </xf>
    <xf numFmtId="0" fontId="4" fillId="32" borderId="4" xfId="0" applyFont="1" applyFill="1" applyBorder="1" applyAlignment="1" applyProtection="1">
      <alignment horizontal="center"/>
      <protection hidden="1"/>
    </xf>
    <xf numFmtId="165" fontId="4" fillId="2" borderId="5" xfId="0" applyNumberFormat="1" applyFont="1" applyFill="1" applyBorder="1" applyAlignment="1" applyProtection="1">
      <alignment horizontal="center"/>
      <protection locked="0" hidden="1"/>
    </xf>
    <xf numFmtId="0" fontId="4" fillId="32" borderId="6" xfId="0" applyFont="1" applyFill="1" applyBorder="1" applyAlignment="1" applyProtection="1">
      <alignment horizontal="center"/>
      <protection hidden="1"/>
    </xf>
    <xf numFmtId="165" fontId="4" fillId="2" borderId="7" xfId="0" applyNumberFormat="1" applyFont="1" applyFill="1" applyBorder="1" applyAlignment="1" applyProtection="1">
      <alignment horizontal="center"/>
      <protection locked="0" hidden="1"/>
    </xf>
    <xf numFmtId="0" fontId="4" fillId="30" borderId="19" xfId="0" applyFont="1" applyFill="1" applyBorder="1" applyAlignment="1" applyProtection="1">
      <alignment horizontal="center"/>
      <protection hidden="1"/>
    </xf>
    <xf numFmtId="165" fontId="4" fillId="2" borderId="21" xfId="0" applyNumberFormat="1" applyFont="1" applyFill="1" applyBorder="1" applyAlignment="1" applyProtection="1">
      <alignment horizontal="center"/>
      <protection locked="0" hidden="1"/>
    </xf>
    <xf numFmtId="0" fontId="4" fillId="30" borderId="29" xfId="0" applyFont="1" applyFill="1" applyBorder="1" applyAlignment="1" applyProtection="1">
      <alignment horizontal="center"/>
      <protection hidden="1"/>
    </xf>
    <xf numFmtId="165" fontId="4" fillId="2" borderId="56" xfId="0" applyNumberFormat="1" applyFont="1" applyFill="1" applyBorder="1" applyAlignment="1" applyProtection="1">
      <alignment horizontal="center"/>
      <protection locked="0" hidden="1"/>
    </xf>
    <xf numFmtId="0" fontId="4" fillId="33" borderId="19" xfId="0" applyFont="1" applyFill="1" applyBorder="1" applyAlignment="1" applyProtection="1">
      <alignment horizontal="center"/>
      <protection hidden="1"/>
    </xf>
    <xf numFmtId="167" fontId="4" fillId="34" borderId="21" xfId="0" applyNumberFormat="1" applyFont="1" applyFill="1" applyBorder="1" applyAlignment="1" applyProtection="1">
      <alignment horizontal="center"/>
      <protection hidden="1"/>
    </xf>
    <xf numFmtId="0" fontId="4" fillId="33" borderId="6" xfId="0" applyFont="1" applyFill="1" applyBorder="1" applyAlignment="1" applyProtection="1">
      <alignment horizontal="center"/>
      <protection hidden="1"/>
    </xf>
    <xf numFmtId="167" fontId="4" fillId="34" borderId="7" xfId="0" applyNumberFormat="1" applyFont="1" applyFill="1" applyBorder="1" applyAlignment="1" applyProtection="1">
      <alignment horizontal="center"/>
      <protection hidden="1"/>
    </xf>
    <xf numFmtId="0" fontId="4" fillId="35" borderId="2" xfId="0" applyFont="1" applyFill="1" applyBorder="1" applyAlignment="1" applyProtection="1">
      <alignment horizontal="center"/>
      <protection hidden="1"/>
    </xf>
    <xf numFmtId="0" fontId="4" fillId="35" borderId="4" xfId="0" applyFont="1" applyFill="1" applyBorder="1" applyAlignment="1" applyProtection="1">
      <alignment horizontal="center"/>
      <protection hidden="1"/>
    </xf>
    <xf numFmtId="0" fontId="4" fillId="35" borderId="6" xfId="0" applyFont="1" applyFill="1" applyBorder="1" applyAlignment="1" applyProtection="1">
      <alignment horizontal="center"/>
      <protection hidden="1"/>
    </xf>
    <xf numFmtId="0" fontId="4" fillId="36" borderId="62" xfId="0" applyFont="1" applyFill="1" applyBorder="1" applyAlignment="1" applyProtection="1">
      <alignment horizontal="center"/>
      <protection hidden="1"/>
    </xf>
    <xf numFmtId="165" fontId="4" fillId="2" borderId="63" xfId="0" applyNumberFormat="1" applyFont="1" applyFill="1" applyBorder="1" applyAlignment="1" applyProtection="1">
      <alignment horizontal="center"/>
      <protection locked="0" hidden="1"/>
    </xf>
    <xf numFmtId="0" fontId="4" fillId="18" borderId="19" xfId="0" applyFont="1" applyFill="1" applyBorder="1" applyAlignment="1" applyProtection="1">
      <alignment horizontal="center"/>
      <protection hidden="1"/>
    </xf>
    <xf numFmtId="0" fontId="4" fillId="0" borderId="16" xfId="0" applyFont="1" applyBorder="1" applyAlignment="1" applyProtection="1">
      <alignment horizontal="center"/>
      <protection hidden="1"/>
    </xf>
    <xf numFmtId="0" fontId="4" fillId="0" borderId="14" xfId="0" applyFont="1" applyBorder="1" applyAlignment="1" applyProtection="1">
      <alignment horizontal="center"/>
      <protection hidden="1"/>
    </xf>
    <xf numFmtId="164" fontId="4" fillId="0" borderId="11" xfId="0" applyNumberFormat="1" applyFont="1" applyBorder="1" applyAlignment="1" applyProtection="1">
      <alignment horizontal="center"/>
      <protection hidden="1"/>
    </xf>
    <xf numFmtId="164" fontId="4" fillId="0" borderId="60" xfId="0" applyNumberFormat="1" applyFont="1" applyBorder="1" applyAlignment="1" applyProtection="1">
      <alignment horizontal="center"/>
      <protection hidden="1"/>
    </xf>
    <xf numFmtId="0" fontId="5" fillId="4" borderId="57" xfId="0" applyFont="1" applyFill="1" applyBorder="1" applyAlignment="1" applyProtection="1">
      <alignment vertical="center" shrinkToFit="1"/>
      <protection hidden="1"/>
    </xf>
    <xf numFmtId="165" fontId="3" fillId="0" borderId="59" xfId="0" applyNumberFormat="1" applyFont="1" applyBorder="1" applyAlignment="1" applyProtection="1">
      <alignment vertical="center" shrinkToFit="1"/>
      <protection hidden="1"/>
    </xf>
    <xf numFmtId="165" fontId="3" fillId="0" borderId="59" xfId="0" applyNumberFormat="1" applyFont="1" applyBorder="1" applyAlignment="1" applyProtection="1">
      <alignment vertical="center"/>
      <protection hidden="1"/>
    </xf>
    <xf numFmtId="165" fontId="3" fillId="0" borderId="27" xfId="0" applyNumberFormat="1" applyFont="1" applyBorder="1" applyAlignment="1">
      <alignment horizontal="center" vertical="center"/>
    </xf>
    <xf numFmtId="165" fontId="3" fillId="0" borderId="64" xfId="0" applyNumberFormat="1" applyFont="1" applyBorder="1" applyAlignment="1" applyProtection="1">
      <alignment vertical="center"/>
      <protection hidden="1"/>
    </xf>
    <xf numFmtId="0" fontId="5" fillId="4" borderId="41" xfId="0" applyFont="1" applyFill="1" applyBorder="1" applyAlignment="1" applyProtection="1">
      <alignment horizontal="center" vertical="center" shrinkToFit="1"/>
      <protection hidden="1"/>
    </xf>
    <xf numFmtId="165" fontId="3" fillId="0" borderId="51" xfId="0" applyNumberFormat="1" applyFont="1" applyBorder="1" applyAlignment="1" applyProtection="1">
      <alignment horizontal="center" vertical="center" shrinkToFit="1"/>
      <protection hidden="1"/>
    </xf>
    <xf numFmtId="165" fontId="3" fillId="0" borderId="51" xfId="0" applyNumberFormat="1" applyFont="1" applyBorder="1" applyAlignment="1" applyProtection="1">
      <alignment horizontal="center" vertical="center"/>
      <protection hidden="1"/>
    </xf>
    <xf numFmtId="165" fontId="3" fillId="0" borderId="42" xfId="0" applyNumberFormat="1" applyFont="1" applyBorder="1" applyAlignment="1" applyProtection="1">
      <alignment horizontal="center" vertical="center"/>
      <protection hidden="1"/>
    </xf>
    <xf numFmtId="165" fontId="3" fillId="0" borderId="36" xfId="0" applyNumberFormat="1" applyFont="1" applyBorder="1" applyAlignment="1" applyProtection="1">
      <alignment horizontal="center" vertical="center"/>
      <protection hidden="1"/>
    </xf>
    <xf numFmtId="165" fontId="3" fillId="0" borderId="0" xfId="0" applyNumberFormat="1" applyFont="1" applyBorder="1" applyAlignment="1" applyProtection="1">
      <alignment horizontal="center" vertical="center"/>
      <protection hidden="1"/>
    </xf>
    <xf numFmtId="168" fontId="11" fillId="28" borderId="28" xfId="0" applyNumberFormat="1" applyFont="1" applyFill="1" applyBorder="1" applyAlignment="1" applyProtection="1">
      <alignment horizontal="center"/>
      <protection hidden="1"/>
    </xf>
    <xf numFmtId="0" fontId="29" fillId="38" borderId="2" xfId="0" applyFont="1" applyFill="1" applyBorder="1" applyAlignment="1">
      <alignment horizontal="center" vertical="center"/>
    </xf>
    <xf numFmtId="0" fontId="29" fillId="38" borderId="4" xfId="0" applyFont="1" applyFill="1" applyBorder="1" applyAlignment="1">
      <alignment horizontal="center" vertical="center"/>
    </xf>
    <xf numFmtId="0" fontId="29" fillId="38" borderId="6" xfId="0" applyFont="1" applyFill="1" applyBorder="1" applyAlignment="1">
      <alignment horizontal="center" vertical="center"/>
    </xf>
    <xf numFmtId="0" fontId="4" fillId="39" borderId="1" xfId="0" applyFont="1" applyFill="1" applyBorder="1" applyAlignment="1" applyProtection="1">
      <alignment horizontal="center"/>
      <protection hidden="1"/>
    </xf>
    <xf numFmtId="0" fontId="4" fillId="39" borderId="0" xfId="0" applyFont="1" applyFill="1" applyBorder="1" applyAlignment="1" applyProtection="1">
      <alignment horizontal="center"/>
      <protection hidden="1"/>
    </xf>
    <xf numFmtId="167" fontId="4" fillId="39" borderId="0" xfId="0" applyNumberFormat="1" applyFont="1" applyFill="1" applyBorder="1" applyAlignment="1" applyProtection="1">
      <alignment horizontal="center"/>
      <protection hidden="1"/>
    </xf>
    <xf numFmtId="0" fontId="32" fillId="39" borderId="1" xfId="0" applyFont="1" applyFill="1" applyBorder="1" applyAlignment="1" applyProtection="1">
      <alignment horizontal="center"/>
      <protection hidden="1"/>
    </xf>
    <xf numFmtId="167" fontId="11" fillId="6" borderId="22" xfId="0" applyNumberFormat="1" applyFont="1" applyFill="1" applyBorder="1" applyAlignment="1" applyProtection="1">
      <alignment horizontal="center"/>
      <protection hidden="1"/>
    </xf>
    <xf numFmtId="0" fontId="11" fillId="28" borderId="0" xfId="0" applyFont="1" applyFill="1" applyBorder="1" applyAlignment="1" applyProtection="1">
      <alignment horizontal="center"/>
      <protection hidden="1"/>
    </xf>
    <xf numFmtId="0" fontId="4" fillId="39" borderId="5" xfId="0" applyFont="1" applyFill="1" applyBorder="1" applyAlignment="1" applyProtection="1">
      <alignment horizontal="center"/>
      <protection hidden="1"/>
    </xf>
    <xf numFmtId="0" fontId="32" fillId="39" borderId="5" xfId="0" applyFont="1" applyFill="1" applyBorder="1" applyAlignment="1" applyProtection="1">
      <alignment horizontal="center"/>
      <protection hidden="1"/>
    </xf>
    <xf numFmtId="0" fontId="4" fillId="39" borderId="28" xfId="0" applyFont="1" applyFill="1" applyBorder="1" applyAlignment="1" applyProtection="1">
      <alignment horizontal="center"/>
      <protection hidden="1"/>
    </xf>
    <xf numFmtId="167" fontId="4" fillId="39" borderId="28" xfId="0" applyNumberFormat="1" applyFont="1" applyFill="1" applyBorder="1" applyAlignment="1" applyProtection="1">
      <alignment horizontal="center"/>
      <protection hidden="1"/>
    </xf>
    <xf numFmtId="167" fontId="11" fillId="6" borderId="14" xfId="0" applyNumberFormat="1" applyFont="1" applyFill="1" applyBorder="1" applyAlignment="1" applyProtection="1">
      <alignment horizontal="center"/>
      <protection hidden="1"/>
    </xf>
    <xf numFmtId="0" fontId="11" fillId="28" borderId="28" xfId="0" applyFont="1" applyFill="1" applyBorder="1" applyAlignment="1" applyProtection="1">
      <alignment horizontal="center"/>
      <protection hidden="1"/>
    </xf>
    <xf numFmtId="164" fontId="11" fillId="28" borderId="0" xfId="0" applyNumberFormat="1" applyFont="1" applyFill="1" applyBorder="1" applyAlignment="1" applyProtection="1">
      <alignment horizontal="center"/>
      <protection hidden="1"/>
    </xf>
    <xf numFmtId="9" fontId="11" fillId="28" borderId="0" xfId="0" applyNumberFormat="1" applyFont="1" applyFill="1" applyBorder="1" applyAlignment="1" applyProtection="1">
      <alignment horizontal="center"/>
      <protection hidden="1"/>
    </xf>
    <xf numFmtId="167" fontId="11" fillId="6" borderId="28" xfId="0" applyNumberFormat="1" applyFont="1" applyFill="1" applyBorder="1" applyAlignment="1" applyProtection="1">
      <alignment horizontal="center"/>
      <protection hidden="1"/>
    </xf>
    <xf numFmtId="0" fontId="4" fillId="28" borderId="28" xfId="0" applyFont="1" applyFill="1" applyBorder="1" applyAlignment="1" applyProtection="1">
      <alignment horizontal="center"/>
      <protection hidden="1"/>
    </xf>
    <xf numFmtId="0" fontId="0" fillId="28" borderId="17" xfId="0" applyFill="1" applyBorder="1"/>
    <xf numFmtId="0" fontId="0" fillId="28" borderId="30" xfId="0" applyFill="1" applyBorder="1"/>
    <xf numFmtId="0" fontId="0" fillId="28" borderId="29" xfId="0" applyFill="1" applyBorder="1"/>
    <xf numFmtId="0" fontId="4" fillId="28" borderId="27" xfId="0" applyFont="1" applyFill="1" applyBorder="1" applyAlignment="1" applyProtection="1">
      <alignment horizontal="center"/>
      <protection hidden="1"/>
    </xf>
    <xf numFmtId="0" fontId="4" fillId="28" borderId="25" xfId="0" applyFont="1" applyFill="1" applyBorder="1" applyAlignment="1" applyProtection="1">
      <alignment horizontal="center"/>
      <protection hidden="1"/>
    </xf>
    <xf numFmtId="0" fontId="4" fillId="28" borderId="24" xfId="0" applyFont="1" applyFill="1" applyBorder="1" applyAlignment="1" applyProtection="1">
      <alignment horizontal="center"/>
      <protection hidden="1"/>
    </xf>
    <xf numFmtId="167" fontId="4" fillId="28" borderId="0" xfId="0" applyNumberFormat="1" applyFont="1" applyFill="1" applyBorder="1" applyAlignment="1" applyProtection="1">
      <alignment horizontal="center"/>
      <protection hidden="1"/>
    </xf>
    <xf numFmtId="168" fontId="4" fillId="28" borderId="0" xfId="0" applyNumberFormat="1" applyFont="1" applyFill="1" applyBorder="1" applyAlignment="1" applyProtection="1">
      <alignment horizontal="center"/>
      <protection hidden="1"/>
    </xf>
    <xf numFmtId="0" fontId="3" fillId="28" borderId="0" xfId="0" applyFont="1" applyFill="1" applyProtection="1">
      <protection hidden="1"/>
    </xf>
    <xf numFmtId="0" fontId="3" fillId="28" borderId="0" xfId="0" applyFont="1" applyFill="1" applyBorder="1" applyProtection="1">
      <protection hidden="1"/>
    </xf>
    <xf numFmtId="0" fontId="3" fillId="28" borderId="25" xfId="0" applyFont="1" applyFill="1" applyBorder="1" applyAlignment="1" applyProtection="1">
      <protection hidden="1"/>
    </xf>
    <xf numFmtId="0" fontId="3" fillId="28" borderId="0" xfId="0" applyFont="1" applyFill="1" applyAlignment="1" applyProtection="1">
      <alignment horizontal="center"/>
      <protection hidden="1"/>
    </xf>
    <xf numFmtId="0" fontId="3" fillId="28" borderId="0" xfId="0" applyFont="1" applyFill="1" applyAlignment="1" applyProtection="1">
      <protection hidden="1"/>
    </xf>
    <xf numFmtId="9" fontId="4" fillId="0" borderId="0" xfId="0" applyNumberFormat="1" applyFont="1" applyAlignment="1">
      <alignment horizontal="center"/>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4" fillId="14" borderId="4" xfId="0" applyFont="1" applyFill="1" applyBorder="1" applyAlignment="1" applyProtection="1">
      <alignment horizontal="center"/>
      <protection hidden="1"/>
    </xf>
    <xf numFmtId="0" fontId="4" fillId="14" borderId="6" xfId="0" applyFont="1" applyFill="1" applyBorder="1" applyAlignment="1" applyProtection="1">
      <alignment horizontal="center" shrinkToFit="1"/>
      <protection hidden="1"/>
    </xf>
    <xf numFmtId="164" fontId="4" fillId="15" borderId="59" xfId="0" applyNumberFormat="1" applyFont="1" applyFill="1" applyBorder="1" applyAlignment="1" applyProtection="1">
      <alignment horizontal="center"/>
      <protection hidden="1"/>
    </xf>
    <xf numFmtId="164" fontId="4" fillId="15" borderId="64" xfId="0" applyNumberFormat="1" applyFont="1" applyFill="1" applyBorder="1" applyAlignment="1" applyProtection="1">
      <alignment horizontal="center"/>
      <protection hidden="1"/>
    </xf>
    <xf numFmtId="164" fontId="4" fillId="15" borderId="26" xfId="0" applyNumberFormat="1" applyFont="1" applyFill="1" applyBorder="1" applyAlignment="1" applyProtection="1">
      <alignment horizontal="center"/>
      <protection hidden="1"/>
    </xf>
    <xf numFmtId="164" fontId="4" fillId="9" borderId="59" xfId="0" applyNumberFormat="1" applyFont="1" applyFill="1" applyBorder="1" applyAlignment="1" applyProtection="1">
      <alignment horizontal="center"/>
      <protection hidden="1"/>
    </xf>
    <xf numFmtId="0" fontId="0" fillId="28" borderId="27" xfId="0" applyFill="1" applyBorder="1"/>
    <xf numFmtId="0" fontId="0" fillId="28" borderId="0" xfId="0" applyFill="1" applyBorder="1"/>
    <xf numFmtId="0" fontId="0" fillId="28" borderId="28" xfId="0" applyFill="1" applyBorder="1"/>
    <xf numFmtId="2" fontId="4" fillId="8" borderId="21" xfId="0" applyNumberFormat="1" applyFont="1" applyFill="1" applyBorder="1" applyAlignment="1" applyProtection="1">
      <alignment horizontal="center"/>
      <protection hidden="1"/>
    </xf>
    <xf numFmtId="0" fontId="4" fillId="36" borderId="19" xfId="0" applyFont="1" applyFill="1" applyBorder="1" applyAlignment="1" applyProtection="1">
      <alignment horizontal="center" shrinkToFit="1"/>
      <protection hidden="1"/>
    </xf>
    <xf numFmtId="0" fontId="4" fillId="36" borderId="48" xfId="0" applyFont="1" applyFill="1" applyBorder="1" applyAlignment="1" applyProtection="1">
      <alignment horizontal="center" shrinkToFit="1"/>
      <protection hidden="1"/>
    </xf>
    <xf numFmtId="0" fontId="11" fillId="6" borderId="21" xfId="0" applyFont="1" applyFill="1" applyBorder="1" applyAlignment="1" applyProtection="1">
      <alignment horizontal="center"/>
      <protection hidden="1"/>
    </xf>
    <xf numFmtId="164" fontId="4" fillId="14" borderId="15" xfId="0" applyNumberFormat="1" applyFont="1" applyFill="1" applyBorder="1" applyAlignment="1" applyProtection="1">
      <alignment horizontal="center"/>
      <protection hidden="1"/>
    </xf>
    <xf numFmtId="164" fontId="4" fillId="14" borderId="15" xfId="0" applyNumberFormat="1" applyFont="1" applyFill="1" applyBorder="1" applyAlignment="1" applyProtection="1">
      <alignment horizontal="center" shrinkToFit="1"/>
      <protection hidden="1"/>
    </xf>
    <xf numFmtId="0" fontId="5" fillId="23" borderId="19" xfId="0" applyFont="1" applyFill="1" applyBorder="1" applyAlignment="1">
      <alignment horizontal="center" vertical="center"/>
    </xf>
    <xf numFmtId="0" fontId="5" fillId="23" borderId="20" xfId="0" applyFont="1" applyFill="1" applyBorder="1" applyAlignment="1">
      <alignment horizontal="center" vertical="center"/>
    </xf>
    <xf numFmtId="0" fontId="5" fillId="23" borderId="21" xfId="0" applyFont="1" applyFill="1" applyBorder="1" applyAlignment="1">
      <alignment horizontal="center" vertical="center"/>
    </xf>
    <xf numFmtId="0" fontId="4" fillId="39" borderId="18" xfId="0" applyFont="1" applyFill="1" applyBorder="1" applyAlignment="1" applyProtection="1">
      <alignment horizontal="center"/>
      <protection hidden="1"/>
    </xf>
    <xf numFmtId="0" fontId="4" fillId="0" borderId="67" xfId="0" applyFont="1" applyBorder="1" applyAlignment="1" applyProtection="1">
      <alignment horizontal="center"/>
      <protection hidden="1"/>
    </xf>
    <xf numFmtId="0" fontId="4" fillId="39" borderId="16" xfId="0" applyFont="1" applyFill="1" applyBorder="1" applyAlignment="1" applyProtection="1">
      <alignment horizontal="center"/>
      <protection hidden="1"/>
    </xf>
    <xf numFmtId="164" fontId="4" fillId="15" borderId="66" xfId="0" applyNumberFormat="1" applyFont="1" applyFill="1" applyBorder="1" applyAlignment="1" applyProtection="1">
      <alignment horizontal="center"/>
      <protection hidden="1"/>
    </xf>
    <xf numFmtId="3" fontId="15" fillId="17" borderId="13" xfId="0" applyNumberFormat="1" applyFont="1" applyFill="1" applyBorder="1" applyAlignment="1" applyProtection="1">
      <alignment horizontal="right" vertical="center"/>
      <protection hidden="1"/>
    </xf>
    <xf numFmtId="3" fontId="5" fillId="17" borderId="22" xfId="0" applyNumberFormat="1" applyFont="1" applyFill="1" applyBorder="1" applyAlignment="1" applyProtection="1">
      <alignment horizontal="center" vertical="center"/>
      <protection hidden="1"/>
    </xf>
    <xf numFmtId="0" fontId="4" fillId="17" borderId="22" xfId="0" applyFont="1" applyFill="1" applyBorder="1" applyAlignment="1" applyProtection="1">
      <alignment horizontal="center"/>
      <protection hidden="1"/>
    </xf>
    <xf numFmtId="3" fontId="5" fillId="17" borderId="14" xfId="0" applyNumberFormat="1" applyFont="1" applyFill="1" applyBorder="1" applyAlignment="1" applyProtection="1">
      <alignment horizontal="center" vertical="center"/>
      <protection hidden="1"/>
    </xf>
    <xf numFmtId="3" fontId="15" fillId="41" borderId="19" xfId="0" applyNumberFormat="1" applyFont="1" applyFill="1" applyBorder="1" applyAlignment="1" applyProtection="1">
      <alignment horizontal="center" vertical="center"/>
      <protection hidden="1"/>
    </xf>
    <xf numFmtId="3" fontId="4" fillId="8" borderId="21" xfId="0" applyNumberFormat="1" applyFont="1" applyFill="1" applyBorder="1" applyAlignment="1" applyProtection="1">
      <alignment horizontal="center"/>
      <protection hidden="1"/>
    </xf>
    <xf numFmtId="3" fontId="34" fillId="42" borderId="19" xfId="0" applyNumberFormat="1" applyFont="1" applyFill="1" applyBorder="1" applyAlignment="1" applyProtection="1">
      <alignment horizontal="center" vertical="center"/>
      <protection hidden="1"/>
    </xf>
    <xf numFmtId="3" fontId="11" fillId="6" borderId="21" xfId="0" applyNumberFormat="1" applyFont="1" applyFill="1" applyBorder="1" applyAlignment="1" applyProtection="1">
      <alignment horizontal="center"/>
      <protection hidden="1"/>
    </xf>
    <xf numFmtId="0" fontId="4" fillId="0" borderId="1"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36" borderId="0" xfId="0" applyFont="1" applyFill="1" applyBorder="1" applyAlignment="1" applyProtection="1">
      <alignment horizontal="center" shrinkToFit="1"/>
      <protection hidden="1"/>
    </xf>
    <xf numFmtId="0" fontId="4" fillId="28" borderId="0" xfId="0" applyFont="1" applyFill="1" applyBorder="1" applyAlignment="1" applyProtection="1">
      <alignment horizontal="center"/>
      <protection hidden="1"/>
    </xf>
    <xf numFmtId="0" fontId="4" fillId="9" borderId="48" xfId="0" applyFont="1" applyFill="1" applyBorder="1" applyAlignment="1">
      <alignment horizontal="center"/>
    </xf>
    <xf numFmtId="3" fontId="4" fillId="9" borderId="50" xfId="0" applyNumberFormat="1" applyFont="1" applyFill="1" applyBorder="1" applyAlignment="1">
      <alignment horizontal="center"/>
    </xf>
    <xf numFmtId="0" fontId="4" fillId="27" borderId="2" xfId="0" applyFont="1" applyFill="1" applyBorder="1" applyAlignment="1" applyProtection="1">
      <alignment horizontal="center"/>
      <protection hidden="1"/>
    </xf>
    <xf numFmtId="0" fontId="4" fillId="27" borderId="43" xfId="0" applyFont="1" applyFill="1" applyBorder="1" applyAlignment="1" applyProtection="1">
      <alignment horizontal="center"/>
      <protection hidden="1"/>
    </xf>
    <xf numFmtId="0" fontId="4" fillId="27" borderId="3" xfId="0" applyFont="1" applyFill="1" applyBorder="1" applyAlignment="1" applyProtection="1">
      <alignment horizontal="center"/>
      <protection hidden="1"/>
    </xf>
    <xf numFmtId="0" fontId="4" fillId="27" borderId="7" xfId="0" applyFont="1" applyFill="1" applyBorder="1" applyAlignment="1">
      <alignment horizontal="center"/>
    </xf>
    <xf numFmtId="0" fontId="6" fillId="11" borderId="34" xfId="0" applyFont="1" applyFill="1" applyBorder="1" applyAlignment="1" applyProtection="1">
      <alignment horizontal="center" vertical="center" wrapText="1"/>
      <protection hidden="1"/>
    </xf>
    <xf numFmtId="165" fontId="5" fillId="17" borderId="16" xfId="0" applyNumberFormat="1" applyFont="1" applyFill="1" applyBorder="1" applyAlignment="1" applyProtection="1">
      <alignment horizontal="center" vertical="center"/>
      <protection hidden="1"/>
    </xf>
    <xf numFmtId="0" fontId="0" fillId="0" borderId="24" xfId="0" applyBorder="1"/>
    <xf numFmtId="0" fontId="0" fillId="0" borderId="26" xfId="0" applyBorder="1"/>
    <xf numFmtId="3" fontId="18" fillId="43" borderId="56" xfId="0" applyNumberFormat="1" applyFont="1" applyFill="1" applyBorder="1" applyAlignment="1">
      <alignment horizontal="center" vertical="center"/>
    </xf>
    <xf numFmtId="3" fontId="5" fillId="0" borderId="3"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7" xfId="0" applyNumberFormat="1" applyFont="1" applyBorder="1" applyAlignment="1">
      <alignment horizontal="center" vertical="center"/>
    </xf>
    <xf numFmtId="0" fontId="5" fillId="43" borderId="50" xfId="0" applyFont="1" applyFill="1" applyBorder="1" applyAlignment="1">
      <alignment horizontal="center" vertical="center"/>
    </xf>
    <xf numFmtId="0" fontId="0" fillId="0" borderId="25" xfId="0" applyBorder="1"/>
    <xf numFmtId="165" fontId="5" fillId="17" borderId="16" xfId="0" applyNumberFormat="1" applyFont="1" applyFill="1" applyBorder="1" applyAlignment="1" applyProtection="1">
      <alignment horizontal="center" vertical="center"/>
      <protection locked="0" hidden="1"/>
    </xf>
    <xf numFmtId="0" fontId="20" fillId="0" borderId="0" xfId="0" applyFont="1" applyAlignment="1">
      <alignment vertical="center" shrinkToFit="1" readingOrder="2"/>
    </xf>
    <xf numFmtId="0" fontId="20" fillId="28" borderId="40" xfId="0" applyFont="1" applyFill="1" applyBorder="1" applyAlignment="1">
      <alignment horizontal="center" vertical="center" shrinkToFit="1" readingOrder="2"/>
    </xf>
    <xf numFmtId="0" fontId="20" fillId="28" borderId="0" xfId="0" applyFont="1" applyFill="1" applyAlignment="1">
      <alignment vertical="center" shrinkToFit="1" readingOrder="2"/>
    </xf>
    <xf numFmtId="0" fontId="20" fillId="28" borderId="4" xfId="0" applyFont="1" applyFill="1" applyBorder="1" applyAlignment="1">
      <alignment horizontal="right" vertical="center" shrinkToFit="1" readingOrder="2"/>
    </xf>
    <xf numFmtId="0" fontId="20" fillId="28" borderId="27" xfId="0" applyFont="1" applyFill="1" applyBorder="1" applyAlignment="1">
      <alignment horizontal="right" vertical="center" shrinkToFit="1" readingOrder="2"/>
    </xf>
    <xf numFmtId="0" fontId="20" fillId="28" borderId="0" xfId="0" applyFont="1" applyFill="1" applyBorder="1" applyAlignment="1">
      <alignment horizontal="right" vertical="center" shrinkToFit="1" readingOrder="2"/>
    </xf>
    <xf numFmtId="0" fontId="20" fillId="28" borderId="0" xfId="0" applyFont="1" applyFill="1" applyBorder="1" applyAlignment="1">
      <alignment vertical="center" shrinkToFit="1" readingOrder="2"/>
    </xf>
    <xf numFmtId="0" fontId="20" fillId="28" borderId="28" xfId="0" applyFont="1" applyFill="1" applyBorder="1" applyAlignment="1">
      <alignment vertical="center" shrinkToFit="1" readingOrder="2"/>
    </xf>
    <xf numFmtId="3" fontId="3" fillId="28" borderId="5" xfId="0" applyNumberFormat="1" applyFont="1" applyFill="1" applyBorder="1" applyAlignment="1">
      <alignment horizontal="center" vertical="center" shrinkToFit="1" readingOrder="2"/>
    </xf>
    <xf numFmtId="3" fontId="3" fillId="28" borderId="7" xfId="0" applyNumberFormat="1" applyFont="1" applyFill="1" applyBorder="1" applyAlignment="1">
      <alignment horizontal="center" vertical="center" shrinkToFit="1" readingOrder="2"/>
    </xf>
    <xf numFmtId="1" fontId="3" fillId="28" borderId="1" xfId="0" applyNumberFormat="1" applyFont="1" applyFill="1" applyBorder="1" applyAlignment="1">
      <alignment horizontal="center" vertical="center" shrinkToFit="1" readingOrder="2"/>
    </xf>
    <xf numFmtId="1" fontId="3" fillId="28" borderId="44" xfId="0" applyNumberFormat="1" applyFont="1" applyFill="1" applyBorder="1" applyAlignment="1">
      <alignment horizontal="center" vertical="center" shrinkToFit="1" readingOrder="2"/>
    </xf>
    <xf numFmtId="0" fontId="20" fillId="28" borderId="51" xfId="0" applyFont="1" applyFill="1" applyBorder="1" applyAlignment="1">
      <alignment horizontal="right" vertical="center" shrinkToFit="1" readingOrder="2"/>
    </xf>
    <xf numFmtId="0" fontId="20" fillId="28" borderId="27" xfId="0" applyFont="1" applyFill="1" applyBorder="1" applyAlignment="1">
      <alignment horizontal="right" vertical="center" shrinkToFit="1" readingOrder="2"/>
    </xf>
    <xf numFmtId="0" fontId="20" fillId="28" borderId="59" xfId="0" applyFont="1" applyFill="1" applyBorder="1" applyAlignment="1">
      <alignment horizontal="right" vertical="center" shrinkToFit="1" readingOrder="2"/>
    </xf>
    <xf numFmtId="0" fontId="20" fillId="28" borderId="18" xfId="0" applyFont="1" applyFill="1" applyBorder="1" applyAlignment="1">
      <alignment horizontal="center" vertical="center" shrinkToFit="1" readingOrder="2"/>
    </xf>
    <xf numFmtId="0" fontId="20" fillId="28" borderId="16" xfId="0" applyFont="1" applyFill="1" applyBorder="1" applyAlignment="1">
      <alignment horizontal="center" vertical="center" shrinkToFit="1" readingOrder="2"/>
    </xf>
    <xf numFmtId="0" fontId="20" fillId="28" borderId="40" xfId="0" applyFont="1" applyFill="1" applyBorder="1" applyAlignment="1">
      <alignment vertical="center" shrinkToFit="1" readingOrder="2"/>
    </xf>
    <xf numFmtId="0" fontId="20" fillId="28" borderId="10" xfId="0" applyFont="1" applyFill="1" applyBorder="1" applyAlignment="1">
      <alignment horizontal="right" vertical="center" shrinkToFit="1" readingOrder="2"/>
    </xf>
    <xf numFmtId="2" fontId="46" fillId="28" borderId="17" xfId="0" applyNumberFormat="1" applyFont="1" applyFill="1" applyBorder="1" applyAlignment="1">
      <alignment horizontal="right" vertical="center" shrinkToFit="1" readingOrder="2"/>
    </xf>
    <xf numFmtId="0" fontId="37" fillId="14" borderId="24" xfId="0" applyFont="1" applyFill="1" applyBorder="1" applyAlignment="1" applyProtection="1">
      <alignment horizontal="center"/>
      <protection hidden="1"/>
    </xf>
    <xf numFmtId="0" fontId="37" fillId="14" borderId="25" xfId="0" applyFont="1" applyFill="1" applyBorder="1" applyAlignment="1" applyProtection="1">
      <alignment horizontal="center"/>
      <protection hidden="1"/>
    </xf>
    <xf numFmtId="0" fontId="37" fillId="14" borderId="26" xfId="0" applyFont="1" applyFill="1" applyBorder="1" applyAlignment="1" applyProtection="1">
      <alignment horizontal="center"/>
      <protection hidden="1"/>
    </xf>
    <xf numFmtId="0" fontId="7" fillId="28" borderId="0" xfId="0" applyFont="1" applyFill="1" applyAlignment="1" applyProtection="1">
      <alignment horizontal="center" vertical="center"/>
      <protection hidden="1"/>
    </xf>
    <xf numFmtId="0" fontId="10" fillId="29" borderId="29" xfId="1" applyFill="1" applyBorder="1" applyAlignment="1" applyProtection="1">
      <alignment horizontal="center" vertical="center"/>
      <protection hidden="1"/>
    </xf>
    <xf numFmtId="0" fontId="26" fillId="29" borderId="30" xfId="1" applyFont="1" applyFill="1" applyBorder="1" applyAlignment="1" applyProtection="1">
      <alignment horizontal="center" vertical="center"/>
      <protection hidden="1"/>
    </xf>
    <xf numFmtId="0" fontId="3" fillId="28" borderId="31" xfId="0" applyFont="1" applyFill="1" applyBorder="1" applyAlignment="1" applyProtection="1">
      <alignment horizontal="center"/>
      <protection hidden="1"/>
    </xf>
    <xf numFmtId="0" fontId="3" fillId="28" borderId="32" xfId="0" applyFont="1" applyFill="1" applyBorder="1" applyAlignment="1" applyProtection="1">
      <alignment horizontal="center"/>
      <protection hidden="1"/>
    </xf>
    <xf numFmtId="0" fontId="3" fillId="28" borderId="33" xfId="0" applyFont="1" applyFill="1" applyBorder="1" applyAlignment="1" applyProtection="1">
      <alignment horizontal="center"/>
      <protection hidden="1"/>
    </xf>
    <xf numFmtId="0" fontId="24" fillId="29" borderId="24" xfId="0" applyFont="1" applyFill="1" applyBorder="1" applyAlignment="1" applyProtection="1">
      <alignment horizontal="center" vertical="center"/>
      <protection hidden="1"/>
    </xf>
    <xf numFmtId="0" fontId="24" fillId="29" borderId="26" xfId="0" applyFont="1" applyFill="1" applyBorder="1" applyAlignment="1" applyProtection="1">
      <alignment horizontal="center" vertical="center"/>
      <protection hidden="1"/>
    </xf>
    <xf numFmtId="0" fontId="25" fillId="29" borderId="29" xfId="0" applyFont="1" applyFill="1" applyBorder="1" applyAlignment="1" applyProtection="1">
      <alignment horizontal="center" vertical="center" shrinkToFit="1"/>
      <protection hidden="1"/>
    </xf>
    <xf numFmtId="0" fontId="25" fillId="29" borderId="30" xfId="0" applyFont="1" applyFill="1" applyBorder="1" applyAlignment="1" applyProtection="1">
      <alignment horizontal="center" vertical="center" shrinkToFit="1"/>
      <protection hidden="1"/>
    </xf>
    <xf numFmtId="0" fontId="27" fillId="29" borderId="24" xfId="1" applyFont="1" applyFill="1" applyBorder="1" applyAlignment="1" applyProtection="1">
      <alignment horizontal="center" vertical="center"/>
      <protection hidden="1"/>
    </xf>
    <xf numFmtId="0" fontId="26" fillId="29" borderId="26" xfId="1" applyFont="1" applyFill="1" applyBorder="1" applyAlignment="1" applyProtection="1">
      <alignment horizontal="center" vertical="center"/>
      <protection hidden="1"/>
    </xf>
    <xf numFmtId="0" fontId="13" fillId="11" borderId="24" xfId="0" applyFont="1" applyFill="1" applyBorder="1" applyAlignment="1" applyProtection="1">
      <alignment horizontal="center" vertical="center" shrinkToFit="1"/>
      <protection hidden="1"/>
    </xf>
    <xf numFmtId="0" fontId="13" fillId="11" borderId="25" xfId="0" applyFont="1" applyFill="1" applyBorder="1" applyAlignment="1" applyProtection="1">
      <alignment horizontal="center" vertical="center" shrinkToFit="1"/>
      <protection hidden="1"/>
    </xf>
    <xf numFmtId="0" fontId="13" fillId="11" borderId="35" xfId="0" applyFont="1" applyFill="1" applyBorder="1" applyAlignment="1" applyProtection="1">
      <alignment horizontal="center" vertical="center" shrinkToFit="1"/>
      <protection hidden="1"/>
    </xf>
    <xf numFmtId="0" fontId="13" fillId="11" borderId="34" xfId="0" applyFont="1" applyFill="1" applyBorder="1" applyAlignment="1" applyProtection="1">
      <alignment horizontal="center" vertical="center" shrinkToFit="1"/>
      <protection hidden="1"/>
    </xf>
    <xf numFmtId="0" fontId="45" fillId="11" borderId="24" xfId="0" applyFont="1" applyFill="1" applyBorder="1" applyAlignment="1" applyProtection="1">
      <alignment horizontal="center" vertical="center"/>
      <protection hidden="1"/>
    </xf>
    <xf numFmtId="0" fontId="45" fillId="11" borderId="0" xfId="0" applyFont="1" applyFill="1" applyBorder="1" applyAlignment="1" applyProtection="1">
      <alignment horizontal="center" vertical="center"/>
      <protection hidden="1"/>
    </xf>
    <xf numFmtId="0" fontId="45" fillId="11" borderId="26" xfId="0" applyFont="1" applyFill="1" applyBorder="1" applyAlignment="1" applyProtection="1">
      <alignment horizontal="center" vertical="center"/>
      <protection hidden="1"/>
    </xf>
    <xf numFmtId="0" fontId="42" fillId="14" borderId="29" xfId="0" applyFont="1" applyFill="1" applyBorder="1" applyAlignment="1" applyProtection="1">
      <alignment horizontal="center"/>
      <protection hidden="1"/>
    </xf>
    <xf numFmtId="0" fontId="42" fillId="14" borderId="17" xfId="0" applyFont="1" applyFill="1" applyBorder="1" applyAlignment="1" applyProtection="1">
      <alignment horizontal="center"/>
      <protection hidden="1"/>
    </xf>
    <xf numFmtId="0" fontId="42" fillId="14" borderId="30" xfId="0" applyFont="1" applyFill="1" applyBorder="1" applyAlignment="1" applyProtection="1">
      <alignment horizontal="center"/>
      <protection hidden="1"/>
    </xf>
    <xf numFmtId="0" fontId="43" fillId="14" borderId="27" xfId="0" applyFont="1" applyFill="1" applyBorder="1" applyAlignment="1" applyProtection="1">
      <alignment horizontal="center"/>
      <protection hidden="1"/>
    </xf>
    <xf numFmtId="0" fontId="43" fillId="14" borderId="0" xfId="0" applyFont="1" applyFill="1" applyBorder="1" applyAlignment="1" applyProtection="1">
      <alignment horizontal="center"/>
      <protection hidden="1"/>
    </xf>
    <xf numFmtId="0" fontId="43" fillId="14" borderId="28" xfId="0" applyFont="1" applyFill="1" applyBorder="1" applyAlignment="1" applyProtection="1">
      <alignment horizontal="center"/>
      <protection hidden="1"/>
    </xf>
    <xf numFmtId="0" fontId="39" fillId="28" borderId="0" xfId="0" applyFont="1" applyFill="1" applyAlignment="1">
      <alignment horizontal="left" shrinkToFit="1" readingOrder="2"/>
    </xf>
    <xf numFmtId="2" fontId="20" fillId="28" borderId="27" xfId="0" applyNumberFormat="1" applyFont="1" applyFill="1" applyBorder="1" applyAlignment="1">
      <alignment horizontal="right" vertical="top" wrapText="1" shrinkToFit="1" readingOrder="2"/>
    </xf>
    <xf numFmtId="2" fontId="20" fillId="28" borderId="28" xfId="0" applyNumberFormat="1" applyFont="1" applyFill="1" applyBorder="1" applyAlignment="1">
      <alignment horizontal="right" vertical="top" wrapText="1" shrinkToFit="1" readingOrder="2"/>
    </xf>
    <xf numFmtId="0" fontId="20" fillId="28" borderId="52" xfId="0" applyFont="1" applyFill="1" applyBorder="1" applyAlignment="1">
      <alignment horizontal="right" vertical="center" shrinkToFit="1" readingOrder="2"/>
    </xf>
    <xf numFmtId="0" fontId="20" fillId="28" borderId="12" xfId="0" applyFont="1" applyFill="1" applyBorder="1" applyAlignment="1">
      <alignment horizontal="right" vertical="center" shrinkToFit="1" readingOrder="2"/>
    </xf>
    <xf numFmtId="0" fontId="20" fillId="28" borderId="42" xfId="0" applyFont="1" applyFill="1" applyBorder="1" applyAlignment="1">
      <alignment horizontal="right" vertical="center" shrinkToFit="1" readingOrder="2"/>
    </xf>
    <xf numFmtId="0" fontId="20" fillId="28" borderId="53" xfId="0" applyFont="1" applyFill="1" applyBorder="1" applyAlignment="1">
      <alignment horizontal="right" vertical="center" shrinkToFit="1" readingOrder="2"/>
    </xf>
    <xf numFmtId="0" fontId="20" fillId="28" borderId="64" xfId="0" applyFont="1" applyFill="1" applyBorder="1" applyAlignment="1">
      <alignment horizontal="right" vertical="center" shrinkToFit="1" readingOrder="2"/>
    </xf>
    <xf numFmtId="0" fontId="20" fillId="28" borderId="29" xfId="0" applyFont="1" applyFill="1" applyBorder="1" applyAlignment="1">
      <alignment horizontal="right" vertical="center" shrinkToFit="1" readingOrder="2"/>
    </xf>
    <xf numFmtId="0" fontId="20" fillId="28" borderId="17" xfId="0" applyFont="1" applyFill="1" applyBorder="1" applyAlignment="1">
      <alignment horizontal="right" vertical="center" shrinkToFit="1" readingOrder="2"/>
    </xf>
    <xf numFmtId="0" fontId="20" fillId="28" borderId="30" xfId="0" applyFont="1" applyFill="1" applyBorder="1" applyAlignment="1">
      <alignment horizontal="right" vertical="center" shrinkToFit="1" readingOrder="2"/>
    </xf>
    <xf numFmtId="0" fontId="20" fillId="28" borderId="51" xfId="0" applyFont="1" applyFill="1" applyBorder="1" applyAlignment="1">
      <alignment horizontal="right" vertical="center" shrinkToFit="1" readingOrder="2"/>
    </xf>
    <xf numFmtId="0" fontId="20" fillId="28" borderId="40" xfId="0" applyFont="1" applyFill="1" applyBorder="1" applyAlignment="1">
      <alignment horizontal="right" vertical="center" shrinkToFit="1" readingOrder="2"/>
    </xf>
    <xf numFmtId="0" fontId="20" fillId="28" borderId="11" xfId="0" applyFont="1" applyFill="1" applyBorder="1" applyAlignment="1">
      <alignment horizontal="right" vertical="center" shrinkToFit="1" readingOrder="2"/>
    </xf>
    <xf numFmtId="0" fontId="20" fillId="28" borderId="24" xfId="0" applyFont="1" applyFill="1" applyBorder="1" applyAlignment="1">
      <alignment horizontal="right" vertical="center" shrinkToFit="1" readingOrder="2"/>
    </xf>
    <xf numFmtId="0" fontId="20" fillId="28" borderId="25" xfId="0" applyFont="1" applyFill="1" applyBorder="1" applyAlignment="1">
      <alignment horizontal="right" vertical="center" shrinkToFit="1" readingOrder="2"/>
    </xf>
    <xf numFmtId="0" fontId="20" fillId="28" borderId="25" xfId="0" applyFont="1" applyFill="1" applyBorder="1" applyAlignment="1">
      <alignment horizontal="center" vertical="center" shrinkToFit="1" readingOrder="2"/>
    </xf>
    <xf numFmtId="0" fontId="20" fillId="28" borderId="26" xfId="0" applyFont="1" applyFill="1" applyBorder="1" applyAlignment="1">
      <alignment horizontal="center" vertical="center" shrinkToFit="1" readingOrder="2"/>
    </xf>
    <xf numFmtId="0" fontId="20" fillId="28" borderId="27" xfId="0" applyFont="1" applyFill="1" applyBorder="1" applyAlignment="1">
      <alignment horizontal="right" vertical="center" shrinkToFit="1" readingOrder="2"/>
    </xf>
    <xf numFmtId="0" fontId="20" fillId="28" borderId="0" xfId="0" applyFont="1" applyFill="1" applyBorder="1" applyAlignment="1">
      <alignment horizontal="right" vertical="center" shrinkToFit="1" readingOrder="2"/>
    </xf>
    <xf numFmtId="0" fontId="20" fillId="28" borderId="70" xfId="0" applyFont="1" applyFill="1" applyBorder="1" applyAlignment="1">
      <alignment horizontal="right" vertical="center" shrinkToFit="1" readingOrder="2"/>
    </xf>
    <xf numFmtId="0" fontId="20" fillId="28" borderId="67" xfId="0" applyFont="1" applyFill="1" applyBorder="1" applyAlignment="1">
      <alignment horizontal="right" vertical="center" shrinkToFit="1" readingOrder="2"/>
    </xf>
    <xf numFmtId="0" fontId="20" fillId="28" borderId="66" xfId="0" applyFont="1" applyFill="1" applyBorder="1" applyAlignment="1">
      <alignment horizontal="right" vertical="center" shrinkToFit="1" readingOrder="2"/>
    </xf>
    <xf numFmtId="0" fontId="20" fillId="28" borderId="52" xfId="0" applyFont="1" applyFill="1" applyBorder="1" applyAlignment="1">
      <alignment vertical="center" shrinkToFit="1" readingOrder="2"/>
    </xf>
    <xf numFmtId="0" fontId="20" fillId="28" borderId="69" xfId="0" applyFont="1" applyFill="1" applyBorder="1" applyAlignment="1">
      <alignment vertical="center" shrinkToFit="1" readingOrder="2"/>
    </xf>
    <xf numFmtId="0" fontId="20" fillId="28" borderId="12" xfId="0" applyFont="1" applyFill="1" applyBorder="1" applyAlignment="1">
      <alignment vertical="center" shrinkToFit="1" readingOrder="2"/>
    </xf>
    <xf numFmtId="0" fontId="20" fillId="28" borderId="28" xfId="0" applyFont="1" applyFill="1" applyBorder="1" applyAlignment="1">
      <alignment horizontal="right" vertical="center" shrinkToFit="1" readingOrder="2"/>
    </xf>
    <xf numFmtId="0" fontId="20" fillId="28" borderId="27" xfId="0" applyFont="1" applyFill="1" applyBorder="1" applyAlignment="1">
      <alignment vertical="center" shrinkToFit="1" readingOrder="2"/>
    </xf>
    <xf numFmtId="0" fontId="20" fillId="28" borderId="0" xfId="0" applyFont="1" applyFill="1" applyBorder="1" applyAlignment="1">
      <alignment vertical="center" shrinkToFit="1" readingOrder="2"/>
    </xf>
    <xf numFmtId="0" fontId="20" fillId="28" borderId="28" xfId="0" applyFont="1" applyFill="1" applyBorder="1" applyAlignment="1">
      <alignment vertical="center" shrinkToFit="1" readingOrder="2"/>
    </xf>
    <xf numFmtId="0" fontId="20" fillId="28" borderId="51" xfId="0" applyFont="1" applyFill="1" applyBorder="1" applyAlignment="1">
      <alignment vertical="center" shrinkToFit="1" readingOrder="2"/>
    </xf>
    <xf numFmtId="0" fontId="20" fillId="28" borderId="40" xfId="0" applyFont="1" applyFill="1" applyBorder="1" applyAlignment="1">
      <alignment vertical="center" shrinkToFit="1" readingOrder="2"/>
    </xf>
    <xf numFmtId="0" fontId="20" fillId="28" borderId="11" xfId="0" applyFont="1" applyFill="1" applyBorder="1" applyAlignment="1">
      <alignment vertical="center" shrinkToFit="1" readingOrder="2"/>
    </xf>
    <xf numFmtId="0" fontId="20" fillId="28" borderId="13" xfId="0" applyFont="1" applyFill="1" applyBorder="1" applyAlignment="1">
      <alignment vertical="center" shrinkToFit="1" readingOrder="2"/>
    </xf>
    <xf numFmtId="0" fontId="20" fillId="28" borderId="62" xfId="0" applyFont="1" applyFill="1" applyBorder="1" applyAlignment="1">
      <alignment vertical="center" shrinkToFit="1" readingOrder="2"/>
    </xf>
    <xf numFmtId="0" fontId="20" fillId="28" borderId="15" xfId="0" applyFont="1" applyFill="1" applyBorder="1" applyAlignment="1">
      <alignment vertical="center" shrinkToFit="1" readingOrder="2"/>
    </xf>
    <xf numFmtId="0" fontId="20" fillId="28" borderId="10" xfId="0" applyFont="1" applyFill="1" applyBorder="1" applyAlignment="1">
      <alignment vertical="center" shrinkToFit="1" readingOrder="2"/>
    </xf>
    <xf numFmtId="0" fontId="20" fillId="28" borderId="59" xfId="0" applyFont="1" applyFill="1" applyBorder="1" applyAlignment="1">
      <alignment horizontal="right" vertical="center" shrinkToFit="1" readingOrder="2"/>
    </xf>
    <xf numFmtId="0" fontId="20" fillId="28" borderId="8" xfId="0" applyFont="1" applyFill="1" applyBorder="1" applyAlignment="1">
      <alignment horizontal="right" vertical="center" shrinkToFit="1" readingOrder="2"/>
    </xf>
    <xf numFmtId="0" fontId="20" fillId="28" borderId="69" xfId="0" applyFont="1" applyFill="1" applyBorder="1" applyAlignment="1">
      <alignment horizontal="right" vertical="center" shrinkToFit="1" readingOrder="2"/>
    </xf>
    <xf numFmtId="0" fontId="20" fillId="28" borderId="72" xfId="0" applyFont="1" applyFill="1" applyBorder="1" applyAlignment="1">
      <alignment horizontal="right" vertical="center" shrinkToFit="1" readingOrder="2"/>
    </xf>
    <xf numFmtId="0" fontId="20" fillId="28" borderId="71" xfId="0" applyFont="1" applyFill="1" applyBorder="1" applyAlignment="1">
      <alignment horizontal="right" vertical="center" shrinkToFit="1" readingOrder="2"/>
    </xf>
    <xf numFmtId="0" fontId="20" fillId="28" borderId="40" xfId="0" applyFont="1" applyFill="1" applyBorder="1" applyAlignment="1">
      <alignment horizontal="left" vertical="center" shrinkToFit="1" readingOrder="2"/>
    </xf>
    <xf numFmtId="0" fontId="20" fillId="28" borderId="10" xfId="0" applyFont="1" applyFill="1" applyBorder="1" applyAlignment="1">
      <alignment horizontal="right" vertical="center" shrinkToFit="1" readingOrder="2"/>
    </xf>
    <xf numFmtId="0" fontId="20" fillId="28" borderId="41" xfId="0" applyFont="1" applyFill="1" applyBorder="1" applyAlignment="1">
      <alignment horizontal="right" vertical="center" shrinkToFit="1" readingOrder="2"/>
    </xf>
    <xf numFmtId="0" fontId="20" fillId="28" borderId="9" xfId="0" applyFont="1" applyFill="1" applyBorder="1" applyAlignment="1">
      <alignment horizontal="right" vertical="center" shrinkToFit="1" readingOrder="2"/>
    </xf>
    <xf numFmtId="0" fontId="20" fillId="28" borderId="45" xfId="0" applyFont="1" applyFill="1" applyBorder="1" applyAlignment="1">
      <alignment horizontal="right" vertical="center" shrinkToFit="1" readingOrder="2"/>
    </xf>
    <xf numFmtId="0" fontId="20" fillId="28" borderId="68" xfId="0" applyFont="1" applyFill="1" applyBorder="1" applyAlignment="1">
      <alignment horizontal="right" vertical="center" shrinkToFit="1" readingOrder="2"/>
    </xf>
    <xf numFmtId="0" fontId="20" fillId="28" borderId="57" xfId="0" applyFont="1" applyFill="1" applyBorder="1" applyAlignment="1">
      <alignment horizontal="right" vertical="center" shrinkToFit="1" readingOrder="2"/>
    </xf>
    <xf numFmtId="0" fontId="41" fillId="0" borderId="25" xfId="0" applyFont="1" applyBorder="1" applyAlignment="1">
      <alignment horizontal="center" vertical="center" shrinkToFit="1" readingOrder="2"/>
    </xf>
    <xf numFmtId="0" fontId="10" fillId="0" borderId="25" xfId="1" applyBorder="1" applyAlignment="1">
      <alignment horizontal="center" vertical="center" shrinkToFit="1" readingOrder="2"/>
    </xf>
    <xf numFmtId="0" fontId="40" fillId="0" borderId="25" xfId="0" applyFont="1" applyBorder="1" applyAlignment="1">
      <alignment horizontal="center" vertical="center" shrinkToFit="1" readingOrder="2"/>
    </xf>
    <xf numFmtId="0" fontId="20" fillId="28" borderId="0" xfId="0" applyFont="1" applyFill="1" applyAlignment="1">
      <alignment horizontal="left" shrinkToFit="1" readingOrder="2"/>
    </xf>
    <xf numFmtId="0" fontId="20" fillId="28" borderId="17" xfId="0" applyFont="1" applyFill="1" applyBorder="1" applyAlignment="1">
      <alignment horizontal="left" shrinkToFit="1" readingOrder="2"/>
    </xf>
    <xf numFmtId="0" fontId="39" fillId="28" borderId="0" xfId="0" applyFont="1" applyFill="1" applyAlignment="1">
      <alignment horizontal="center" vertical="center" shrinkToFit="1" readingOrder="2"/>
    </xf>
    <xf numFmtId="0" fontId="4" fillId="28" borderId="0" xfId="0" applyFont="1" applyFill="1" applyAlignment="1">
      <alignment horizontal="center" vertical="center" shrinkToFit="1" readingOrder="2"/>
    </xf>
    <xf numFmtId="0" fontId="39" fillId="28" borderId="17" xfId="0" applyFont="1" applyFill="1" applyBorder="1" applyAlignment="1">
      <alignment horizontal="center" vertical="center" shrinkToFit="1" readingOrder="2"/>
    </xf>
    <xf numFmtId="0" fontId="20" fillId="28" borderId="0" xfId="0" applyFont="1" applyFill="1" applyAlignment="1">
      <alignment horizontal="center" vertical="center" shrinkToFit="1" readingOrder="2"/>
    </xf>
    <xf numFmtId="0" fontId="20" fillId="28" borderId="47" xfId="0" applyFont="1" applyFill="1" applyBorder="1" applyAlignment="1">
      <alignment horizontal="right" vertical="center" shrinkToFit="1" readingOrder="2"/>
    </xf>
    <xf numFmtId="0" fontId="20" fillId="28" borderId="1" xfId="0" applyFont="1" applyFill="1" applyBorder="1" applyAlignment="1">
      <alignment horizontal="right" vertical="center" shrinkToFit="1" readingOrder="2"/>
    </xf>
    <xf numFmtId="0" fontId="20" fillId="28" borderId="5" xfId="0" applyFont="1" applyFill="1" applyBorder="1" applyAlignment="1">
      <alignment horizontal="right" vertical="center" shrinkToFit="1" readingOrder="2"/>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10" fillId="0" borderId="25" xfId="1" applyBorder="1" applyAlignment="1" applyProtection="1">
      <alignment horizontal="center"/>
      <protection hidden="1"/>
    </xf>
    <xf numFmtId="0" fontId="21" fillId="0" borderId="24" xfId="0" applyFont="1" applyBorder="1" applyAlignment="1" applyProtection="1">
      <alignment horizontal="center" vertical="center"/>
      <protection hidden="1"/>
    </xf>
    <xf numFmtId="0" fontId="21" fillId="0" borderId="26" xfId="0" applyFont="1" applyBorder="1" applyAlignment="1" applyProtection="1">
      <alignment horizontal="center" vertical="center"/>
      <protection hidden="1"/>
    </xf>
    <xf numFmtId="0" fontId="12" fillId="28" borderId="29" xfId="0" applyFont="1" applyFill="1" applyBorder="1" applyAlignment="1" applyProtection="1">
      <alignment horizontal="center" vertical="center"/>
      <protection hidden="1"/>
    </xf>
    <xf numFmtId="0" fontId="12" fillId="28" borderId="30" xfId="0" applyFont="1" applyFill="1" applyBorder="1" applyAlignment="1" applyProtection="1">
      <alignment horizontal="center" vertical="center"/>
      <protection hidden="1"/>
    </xf>
    <xf numFmtId="0" fontId="0" fillId="0" borderId="0" xfId="0" applyAlignment="1" applyProtection="1">
      <alignment horizontal="center"/>
      <protection locked="0"/>
    </xf>
    <xf numFmtId="0" fontId="0" fillId="0" borderId="17" xfId="0" applyBorder="1" applyAlignment="1" applyProtection="1">
      <alignment horizontal="center"/>
      <protection locked="0"/>
    </xf>
    <xf numFmtId="0" fontId="12" fillId="28" borderId="27" xfId="0" applyFont="1" applyFill="1" applyBorder="1" applyAlignment="1" applyProtection="1">
      <alignment horizontal="center" vertical="center"/>
      <protection hidden="1"/>
    </xf>
    <xf numFmtId="0" fontId="12" fillId="28" borderId="28" xfId="0" applyFont="1" applyFill="1" applyBorder="1" applyAlignment="1" applyProtection="1">
      <alignment horizontal="center" vertical="center"/>
      <protection hidden="1"/>
    </xf>
    <xf numFmtId="0" fontId="23" fillId="0" borderId="29" xfId="1" applyFont="1" applyBorder="1" applyAlignment="1" applyProtection="1">
      <alignment horizontal="center"/>
      <protection hidden="1"/>
    </xf>
    <xf numFmtId="0" fontId="18" fillId="0" borderId="30" xfId="0" applyFont="1" applyBorder="1" applyAlignment="1" applyProtection="1">
      <alignment horizontal="center"/>
      <protection hidden="1"/>
    </xf>
    <xf numFmtId="0" fontId="0" fillId="0" borderId="27" xfId="0" applyBorder="1" applyAlignment="1">
      <alignment horizontal="center"/>
    </xf>
    <xf numFmtId="0" fontId="0" fillId="0" borderId="28" xfId="0" applyBorder="1" applyAlignment="1">
      <alignment horizontal="center"/>
    </xf>
    <xf numFmtId="0" fontId="36" fillId="2" borderId="24" xfId="0" applyFont="1" applyFill="1" applyBorder="1" applyAlignment="1" applyProtection="1">
      <alignment horizontal="center" vertical="center" wrapText="1"/>
      <protection hidden="1"/>
    </xf>
    <xf numFmtId="0" fontId="36" fillId="2" borderId="25" xfId="0" applyFont="1" applyFill="1" applyBorder="1" applyAlignment="1" applyProtection="1">
      <alignment horizontal="center" vertical="center" wrapText="1"/>
      <protection hidden="1"/>
    </xf>
    <xf numFmtId="0" fontId="36" fillId="2" borderId="26" xfId="0"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0" fontId="36" fillId="2" borderId="17" xfId="0" applyFont="1" applyFill="1" applyBorder="1" applyAlignment="1" applyProtection="1">
      <alignment horizontal="center" vertical="center" wrapText="1"/>
      <protection hidden="1"/>
    </xf>
    <xf numFmtId="0" fontId="36" fillId="2" borderId="30" xfId="0" applyFont="1" applyFill="1" applyBorder="1" applyAlignment="1" applyProtection="1">
      <alignment horizontal="center" vertical="center" wrapText="1"/>
      <protection hidden="1"/>
    </xf>
    <xf numFmtId="0" fontId="22" fillId="0" borderId="0" xfId="0" applyFont="1" applyBorder="1" applyAlignment="1" applyProtection="1">
      <alignment horizontal="center" vertical="center"/>
      <protection hidden="1"/>
    </xf>
    <xf numFmtId="0" fontId="5" fillId="3" borderId="36" xfId="0" applyFont="1" applyFill="1" applyBorder="1" applyAlignment="1" applyProtection="1">
      <alignment horizontal="center" vertical="center"/>
      <protection hidden="1"/>
    </xf>
    <xf numFmtId="0" fontId="5" fillId="3" borderId="34" xfId="0" applyFont="1" applyFill="1" applyBorder="1" applyAlignment="1" applyProtection="1">
      <alignment horizontal="center" vertical="center"/>
      <protection hidden="1"/>
    </xf>
    <xf numFmtId="0" fontId="5" fillId="0" borderId="27" xfId="0" applyFont="1" applyBorder="1" applyAlignment="1" applyProtection="1">
      <alignment horizontal="right"/>
      <protection hidden="1"/>
    </xf>
    <xf numFmtId="0" fontId="5" fillId="0" borderId="28" xfId="0" applyFont="1" applyBorder="1" applyAlignment="1" applyProtection="1">
      <alignment horizontal="right"/>
      <protection hidden="1"/>
    </xf>
    <xf numFmtId="0" fontId="10" fillId="3" borderId="36" xfId="1" applyFill="1" applyBorder="1" applyAlignment="1" applyProtection="1">
      <alignment horizontal="center" vertical="center" shrinkToFit="1"/>
      <protection hidden="1"/>
    </xf>
    <xf numFmtId="0" fontId="5" fillId="3" borderId="35" xfId="0" applyFont="1" applyFill="1" applyBorder="1" applyAlignment="1" applyProtection="1">
      <alignment horizontal="center" vertical="center" shrinkToFit="1"/>
      <protection hidden="1"/>
    </xf>
    <xf numFmtId="0" fontId="5" fillId="3" borderId="34" xfId="0" applyFont="1" applyFill="1" applyBorder="1" applyAlignment="1" applyProtection="1">
      <alignment horizontal="center" vertical="center" shrinkToFit="1"/>
      <protection hidden="1"/>
    </xf>
    <xf numFmtId="0" fontId="5" fillId="0" borderId="27" xfId="0" applyFont="1" applyBorder="1" applyAlignment="1" applyProtection="1">
      <alignment horizontal="center"/>
      <protection hidden="1"/>
    </xf>
    <xf numFmtId="0" fontId="5" fillId="0" borderId="28" xfId="0" applyFont="1" applyBorder="1" applyAlignment="1" applyProtection="1">
      <alignment horizontal="center"/>
      <protection hidden="1"/>
    </xf>
    <xf numFmtId="0" fontId="6" fillId="5" borderId="19" xfId="0" applyFont="1" applyFill="1" applyBorder="1" applyAlignment="1" applyProtection="1">
      <alignment horizontal="center" vertical="center"/>
      <protection hidden="1"/>
    </xf>
    <xf numFmtId="0" fontId="6" fillId="5" borderId="21" xfId="0" applyFont="1" applyFill="1" applyBorder="1" applyAlignment="1" applyProtection="1">
      <alignment horizontal="center" vertical="center"/>
      <protection hidden="1"/>
    </xf>
    <xf numFmtId="0" fontId="5" fillId="0" borderId="24" xfId="0" applyFont="1" applyBorder="1" applyAlignment="1" applyProtection="1">
      <alignment horizontal="right"/>
      <protection hidden="1"/>
    </xf>
    <xf numFmtId="0" fontId="5" fillId="0" borderId="26" xfId="0" applyFont="1" applyBorder="1" applyAlignment="1" applyProtection="1">
      <alignment horizontal="right"/>
      <protection hidden="1"/>
    </xf>
    <xf numFmtId="0" fontId="33" fillId="40" borderId="36" xfId="0" applyFont="1" applyFill="1" applyBorder="1" applyAlignment="1">
      <alignment horizontal="center" vertical="center" shrinkToFit="1"/>
    </xf>
    <xf numFmtId="0" fontId="33" fillId="40" borderId="35" xfId="0" applyFont="1" applyFill="1" applyBorder="1" applyAlignment="1">
      <alignment horizontal="center" vertical="center" shrinkToFit="1"/>
    </xf>
    <xf numFmtId="0" fontId="33" fillId="40" borderId="34" xfId="0" applyFont="1" applyFill="1" applyBorder="1" applyAlignment="1">
      <alignment horizontal="center" vertical="center" shrinkToFit="1"/>
    </xf>
    <xf numFmtId="0" fontId="4" fillId="36" borderId="51" xfId="0" applyFont="1" applyFill="1" applyBorder="1" applyAlignment="1" applyProtection="1">
      <alignment horizontal="center"/>
      <protection hidden="1"/>
    </xf>
    <xf numFmtId="0" fontId="4" fillId="36" borderId="11" xfId="0" applyFont="1" applyFill="1" applyBorder="1" applyAlignment="1" applyProtection="1">
      <alignment horizontal="center"/>
      <protection hidden="1"/>
    </xf>
    <xf numFmtId="0" fontId="4" fillId="8" borderId="19" xfId="0" applyFont="1" applyFill="1" applyBorder="1" applyAlignment="1" applyProtection="1">
      <alignment horizontal="center" shrinkToFit="1"/>
      <protection hidden="1"/>
    </xf>
    <xf numFmtId="0" fontId="4" fillId="8" borderId="20" xfId="0" applyFont="1" applyFill="1" applyBorder="1" applyAlignment="1" applyProtection="1">
      <alignment horizontal="center" shrinkToFit="1"/>
      <protection hidden="1"/>
    </xf>
    <xf numFmtId="0" fontId="4" fillId="36" borderId="19" xfId="0" applyFont="1" applyFill="1" applyBorder="1" applyAlignment="1" applyProtection="1">
      <alignment horizontal="center"/>
      <protection hidden="1"/>
    </xf>
    <xf numFmtId="0" fontId="4" fillId="36" borderId="20" xfId="0" applyFont="1" applyFill="1" applyBorder="1" applyAlignment="1" applyProtection="1">
      <alignment horizontal="center"/>
      <protection hidden="1"/>
    </xf>
    <xf numFmtId="0" fontId="11" fillId="38" borderId="43" xfId="0" applyFont="1" applyFill="1" applyBorder="1" applyAlignment="1">
      <alignment horizontal="center" vertical="center" wrapText="1"/>
    </xf>
    <xf numFmtId="0" fontId="11" fillId="38" borderId="3" xfId="0" applyFont="1" applyFill="1" applyBorder="1" applyAlignment="1">
      <alignment horizontal="center" vertical="center" wrapText="1"/>
    </xf>
    <xf numFmtId="0" fontId="11" fillId="38" borderId="44" xfId="0" applyFont="1" applyFill="1" applyBorder="1" applyAlignment="1">
      <alignment horizontal="center" vertical="center" wrapText="1"/>
    </xf>
    <xf numFmtId="0" fontId="11" fillId="38" borderId="7" xfId="0" applyFont="1" applyFill="1" applyBorder="1" applyAlignment="1">
      <alignment horizontal="center" vertical="center" wrapText="1"/>
    </xf>
    <xf numFmtId="0" fontId="11" fillId="38" borderId="2" xfId="0" applyFont="1" applyFill="1" applyBorder="1" applyAlignment="1">
      <alignment horizontal="center" vertical="center" wrapText="1"/>
    </xf>
    <xf numFmtId="0" fontId="11" fillId="38" borderId="6" xfId="0" applyFont="1" applyFill="1" applyBorder="1" applyAlignment="1">
      <alignment horizontal="center" vertical="center" wrapText="1"/>
    </xf>
    <xf numFmtId="0" fontId="3" fillId="0" borderId="24" xfId="0" applyFont="1" applyBorder="1" applyAlignment="1" applyProtection="1">
      <alignment horizontal="right"/>
      <protection hidden="1"/>
    </xf>
    <xf numFmtId="0" fontId="3" fillId="0" borderId="25" xfId="0" applyFont="1" applyBorder="1" applyAlignment="1" applyProtection="1">
      <alignment horizontal="right"/>
      <protection hidden="1"/>
    </xf>
    <xf numFmtId="0" fontId="3" fillId="0" borderId="26" xfId="0" applyFont="1" applyBorder="1" applyAlignment="1" applyProtection="1">
      <alignment horizontal="right"/>
      <protection hidden="1"/>
    </xf>
    <xf numFmtId="0" fontId="3" fillId="0" borderId="27" xfId="0" applyFont="1" applyBorder="1" applyAlignment="1" applyProtection="1">
      <alignment horizontal="right"/>
      <protection hidden="1"/>
    </xf>
    <xf numFmtId="0" fontId="3" fillId="0" borderId="0" xfId="0" applyFont="1" applyBorder="1" applyAlignment="1" applyProtection="1">
      <alignment horizontal="right"/>
      <protection hidden="1"/>
    </xf>
    <xf numFmtId="0" fontId="3" fillId="0" borderId="28" xfId="0" applyFont="1" applyBorder="1" applyAlignment="1" applyProtection="1">
      <alignment horizontal="right"/>
      <protection hidden="1"/>
    </xf>
    <xf numFmtId="0" fontId="3" fillId="0" borderId="29" xfId="0" applyFont="1" applyBorder="1" applyAlignment="1" applyProtection="1">
      <alignment horizontal="right"/>
      <protection hidden="1"/>
    </xf>
    <xf numFmtId="0" fontId="3" fillId="0" borderId="17" xfId="0" applyFont="1" applyBorder="1" applyAlignment="1" applyProtection="1">
      <alignment horizontal="right"/>
      <protection hidden="1"/>
    </xf>
    <xf numFmtId="0" fontId="3" fillId="0" borderId="30" xfId="0" applyFont="1" applyBorder="1" applyAlignment="1" applyProtection="1">
      <alignment horizontal="right"/>
      <protection hidden="1"/>
    </xf>
    <xf numFmtId="0" fontId="4" fillId="12" borderId="42" xfId="0" applyFont="1" applyFill="1" applyBorder="1" applyAlignment="1" applyProtection="1">
      <alignment horizontal="center" vertical="center"/>
      <protection hidden="1"/>
    </xf>
    <xf numFmtId="0" fontId="4" fillId="12" borderId="60" xfId="0" applyFont="1" applyFill="1" applyBorder="1" applyAlignment="1" applyProtection="1">
      <alignment horizontal="center" vertical="center"/>
      <protection hidden="1"/>
    </xf>
    <xf numFmtId="0" fontId="4" fillId="26" borderId="48" xfId="0" applyFont="1" applyFill="1" applyBorder="1" applyAlignment="1">
      <alignment horizontal="center"/>
    </xf>
    <xf numFmtId="0" fontId="4" fillId="26" borderId="49" xfId="0" applyFont="1" applyFill="1" applyBorder="1" applyAlignment="1">
      <alignment horizontal="center"/>
    </xf>
    <xf numFmtId="0" fontId="4" fillId="31" borderId="44" xfId="0" applyFont="1" applyFill="1" applyBorder="1" applyAlignment="1">
      <alignment horizontal="center"/>
    </xf>
    <xf numFmtId="0" fontId="4" fillId="31" borderId="7" xfId="0" applyFont="1" applyFill="1" applyBorder="1" applyAlignment="1">
      <alignment horizontal="center"/>
    </xf>
    <xf numFmtId="0" fontId="4" fillId="24" borderId="36" xfId="0" applyFont="1" applyFill="1" applyBorder="1" applyAlignment="1">
      <alignment horizontal="center"/>
    </xf>
    <xf numFmtId="0" fontId="4" fillId="24" borderId="61" xfId="0" applyFont="1" applyFill="1" applyBorder="1" applyAlignment="1">
      <alignment horizontal="center"/>
    </xf>
    <xf numFmtId="0" fontId="4" fillId="2" borderId="8" xfId="0" applyFont="1" applyFill="1" applyBorder="1" applyAlignment="1" applyProtection="1">
      <alignment horizontal="center"/>
      <protection hidden="1"/>
    </xf>
    <xf numFmtId="0" fontId="4" fillId="2" borderId="12" xfId="0" applyFont="1" applyFill="1" applyBorder="1" applyAlignment="1" applyProtection="1">
      <alignment horizontal="center"/>
      <protection hidden="1"/>
    </xf>
    <xf numFmtId="0" fontId="4" fillId="7" borderId="2" xfId="0" applyFont="1" applyFill="1" applyBorder="1" applyAlignment="1" applyProtection="1">
      <alignment horizontal="center"/>
      <protection hidden="1"/>
    </xf>
    <xf numFmtId="0" fontId="4" fillId="7" borderId="43" xfId="0" applyFont="1" applyFill="1" applyBorder="1" applyAlignment="1" applyProtection="1">
      <alignment horizontal="center"/>
      <protection hidden="1"/>
    </xf>
    <xf numFmtId="0" fontId="4" fillId="0" borderId="2" xfId="0" applyFont="1" applyBorder="1" applyAlignment="1" applyProtection="1">
      <alignment horizontal="center"/>
      <protection hidden="1"/>
    </xf>
    <xf numFmtId="0" fontId="4" fillId="0" borderId="43"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44" xfId="0" applyFont="1" applyBorder="1" applyAlignment="1" applyProtection="1">
      <alignment horizontal="center"/>
      <protection hidden="1"/>
    </xf>
    <xf numFmtId="165" fontId="4" fillId="25" borderId="61" xfId="0" applyNumberFormat="1" applyFont="1" applyFill="1" applyBorder="1" applyAlignment="1" applyProtection="1">
      <alignment horizontal="center" vertical="center"/>
      <protection hidden="1"/>
    </xf>
    <xf numFmtId="165" fontId="4" fillId="25" borderId="20" xfId="0" applyNumberFormat="1" applyFont="1" applyFill="1" applyBorder="1" applyAlignment="1" applyProtection="1">
      <alignment horizontal="center" vertical="center"/>
      <protection hidden="1"/>
    </xf>
    <xf numFmtId="0" fontId="4" fillId="9" borderId="19" xfId="0" applyFont="1" applyFill="1" applyBorder="1" applyAlignment="1" applyProtection="1">
      <alignment horizontal="center"/>
      <protection hidden="1"/>
    </xf>
    <xf numFmtId="0" fontId="4" fillId="9" borderId="20" xfId="0" applyFont="1" applyFill="1" applyBorder="1" applyAlignment="1" applyProtection="1">
      <alignment horizontal="center"/>
      <protection hidden="1"/>
    </xf>
    <xf numFmtId="0" fontId="4" fillId="27" borderId="51" xfId="0" applyFont="1" applyFill="1" applyBorder="1" applyAlignment="1">
      <alignment horizontal="center"/>
    </xf>
    <xf numFmtId="0" fontId="4" fillId="27" borderId="11" xfId="0" applyFont="1" applyFill="1" applyBorder="1" applyAlignment="1">
      <alignment horizontal="center"/>
    </xf>
    <xf numFmtId="0" fontId="4" fillId="27" borderId="52" xfId="0" applyFont="1" applyFill="1" applyBorder="1" applyAlignment="1">
      <alignment horizontal="center"/>
    </xf>
    <xf numFmtId="0" fontId="4" fillId="27" borderId="12" xfId="0" applyFont="1" applyFill="1" applyBorder="1" applyAlignment="1">
      <alignment horizontal="center"/>
    </xf>
    <xf numFmtId="0" fontId="4" fillId="0" borderId="1" xfId="0" applyFont="1" applyBorder="1" applyAlignment="1" applyProtection="1">
      <alignment horizontal="center"/>
      <protection hidden="1"/>
    </xf>
    <xf numFmtId="0" fontId="4" fillId="2" borderId="54" xfId="0" applyFont="1" applyFill="1" applyBorder="1" applyAlignment="1" applyProtection="1">
      <alignment horizontal="center"/>
      <protection hidden="1"/>
    </xf>
    <xf numFmtId="0" fontId="4" fillId="2" borderId="55" xfId="0" applyFont="1" applyFill="1" applyBorder="1" applyAlignment="1" applyProtection="1">
      <alignment horizontal="center"/>
      <protection hidden="1"/>
    </xf>
    <xf numFmtId="0" fontId="4" fillId="10" borderId="19" xfId="0" applyFont="1" applyFill="1" applyBorder="1" applyAlignment="1" applyProtection="1">
      <alignment horizontal="center" shrinkToFit="1"/>
      <protection hidden="1"/>
    </xf>
    <xf numFmtId="0" fontId="4" fillId="10" borderId="20" xfId="0" applyFont="1" applyFill="1" applyBorder="1" applyAlignment="1" applyProtection="1">
      <alignment horizontal="center" shrinkToFit="1"/>
      <protection hidden="1"/>
    </xf>
    <xf numFmtId="0" fontId="4" fillId="8" borderId="6" xfId="0" applyFont="1" applyFill="1" applyBorder="1" applyAlignment="1" applyProtection="1">
      <alignment horizontal="center"/>
      <protection hidden="1"/>
    </xf>
    <xf numFmtId="0" fontId="4" fillId="8" borderId="44" xfId="0" applyFont="1" applyFill="1" applyBorder="1" applyAlignment="1" applyProtection="1">
      <alignment horizontal="center"/>
      <protection hidden="1"/>
    </xf>
    <xf numFmtId="0" fontId="4" fillId="0" borderId="48" xfId="0" applyFont="1" applyBorder="1" applyAlignment="1" applyProtection="1">
      <alignment horizontal="center"/>
      <protection hidden="1"/>
    </xf>
    <xf numFmtId="0" fontId="4" fillId="0" borderId="49"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2" borderId="6" xfId="0" applyFont="1" applyFill="1" applyBorder="1" applyAlignment="1" applyProtection="1">
      <alignment horizontal="center"/>
      <protection hidden="1"/>
    </xf>
    <xf numFmtId="0" fontId="4" fillId="2" borderId="44" xfId="0" applyFont="1" applyFill="1" applyBorder="1" applyAlignment="1" applyProtection="1">
      <alignment horizontal="center"/>
      <protection hidden="1"/>
    </xf>
    <xf numFmtId="0" fontId="4" fillId="2" borderId="19" xfId="0" applyFont="1" applyFill="1" applyBorder="1" applyAlignment="1" applyProtection="1">
      <alignment horizontal="center"/>
      <protection hidden="1"/>
    </xf>
    <xf numFmtId="0" fontId="4" fillId="2" borderId="20" xfId="0" applyFont="1" applyFill="1" applyBorder="1" applyAlignment="1" applyProtection="1">
      <alignment horizontal="center"/>
      <protection hidden="1"/>
    </xf>
    <xf numFmtId="0" fontId="4" fillId="10" borderId="6" xfId="0" applyFont="1" applyFill="1" applyBorder="1" applyAlignment="1" applyProtection="1">
      <alignment horizontal="center"/>
      <protection hidden="1"/>
    </xf>
    <xf numFmtId="0" fontId="4" fillId="10" borderId="44" xfId="0" applyFont="1" applyFill="1" applyBorder="1" applyAlignment="1" applyProtection="1">
      <alignment horizontal="center"/>
      <protection hidden="1"/>
    </xf>
    <xf numFmtId="0" fontId="4" fillId="11" borderId="6" xfId="0" applyFont="1" applyFill="1" applyBorder="1" applyAlignment="1" applyProtection="1">
      <alignment horizontal="center"/>
      <protection hidden="1"/>
    </xf>
    <xf numFmtId="0" fontId="4" fillId="11" borderId="22" xfId="0" applyFont="1" applyFill="1" applyBorder="1" applyAlignment="1" applyProtection="1">
      <alignment horizontal="center"/>
      <protection hidden="1"/>
    </xf>
    <xf numFmtId="0" fontId="4" fillId="11" borderId="2" xfId="0" applyFont="1" applyFill="1" applyBorder="1" applyAlignment="1" applyProtection="1">
      <alignment horizontal="center"/>
      <protection hidden="1"/>
    </xf>
    <xf numFmtId="0" fontId="4" fillId="11" borderId="43" xfId="0" applyFont="1" applyFill="1" applyBorder="1" applyAlignment="1" applyProtection="1">
      <alignment horizontal="center"/>
      <protection hidden="1"/>
    </xf>
    <xf numFmtId="0" fontId="4" fillId="11" borderId="3" xfId="0" applyFont="1" applyFill="1" applyBorder="1" applyAlignment="1" applyProtection="1">
      <alignment horizontal="center"/>
      <protection hidden="1"/>
    </xf>
    <xf numFmtId="0" fontId="11" fillId="37" borderId="24" xfId="0" applyFont="1" applyFill="1" applyBorder="1" applyAlignment="1" applyProtection="1">
      <alignment horizontal="center"/>
      <protection hidden="1"/>
    </xf>
    <xf numFmtId="0" fontId="11" fillId="37" borderId="26" xfId="0" applyFont="1" applyFill="1" applyBorder="1" applyAlignment="1" applyProtection="1">
      <alignment horizontal="center"/>
      <protection hidden="1"/>
    </xf>
    <xf numFmtId="0" fontId="11" fillId="37" borderId="29" xfId="0" applyFont="1" applyFill="1" applyBorder="1" applyAlignment="1" applyProtection="1">
      <alignment horizontal="center"/>
      <protection hidden="1"/>
    </xf>
    <xf numFmtId="0" fontId="11" fillId="37" borderId="30" xfId="0" applyFont="1" applyFill="1" applyBorder="1" applyAlignment="1" applyProtection="1">
      <alignment horizontal="center"/>
      <protection hidden="1"/>
    </xf>
    <xf numFmtId="0" fontId="28" fillId="29" borderId="36" xfId="0" applyFont="1" applyFill="1" applyBorder="1" applyAlignment="1" applyProtection="1">
      <alignment horizontal="center" vertical="center"/>
      <protection hidden="1"/>
    </xf>
    <xf numFmtId="0" fontId="28" fillId="29" borderId="34" xfId="0" applyFont="1" applyFill="1" applyBorder="1" applyAlignment="1" applyProtection="1">
      <alignment horizontal="center" vertical="center"/>
      <protection hidden="1"/>
    </xf>
    <xf numFmtId="0" fontId="31" fillId="29" borderId="36" xfId="0" applyFont="1" applyFill="1" applyBorder="1" applyAlignment="1" applyProtection="1">
      <alignment horizontal="center" vertical="center"/>
      <protection hidden="1"/>
    </xf>
    <xf numFmtId="0" fontId="31" fillId="29" borderId="34" xfId="0" applyFont="1" applyFill="1" applyBorder="1" applyAlignment="1" applyProtection="1">
      <alignment horizontal="center" vertical="center"/>
      <protection hidden="1"/>
    </xf>
    <xf numFmtId="0" fontId="35" fillId="4" borderId="31"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5" fillId="4" borderId="33" xfId="0" applyFont="1" applyFill="1" applyBorder="1" applyAlignment="1">
      <alignment horizontal="center" vertical="center" wrapText="1"/>
    </xf>
    <xf numFmtId="0" fontId="5" fillId="43" borderId="48" xfId="0" applyFont="1" applyFill="1" applyBorder="1" applyAlignment="1">
      <alignment horizontal="center" vertical="center"/>
    </xf>
    <xf numFmtId="0" fontId="5" fillId="43" borderId="49" xfId="0" applyFont="1" applyFill="1" applyBorder="1" applyAlignment="1">
      <alignment horizontal="center" vertical="center"/>
    </xf>
    <xf numFmtId="0" fontId="15" fillId="0" borderId="2" xfId="0" applyFont="1" applyBorder="1" applyAlignment="1">
      <alignment horizontal="center" vertical="center"/>
    </xf>
    <xf numFmtId="0" fontId="15" fillId="0" borderId="4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5" fillId="0" borderId="44" xfId="0" applyFont="1" applyBorder="1" applyAlignment="1">
      <alignment horizontal="center" vertical="center"/>
    </xf>
    <xf numFmtId="0" fontId="18" fillId="43" borderId="54" xfId="0" applyFont="1" applyFill="1" applyBorder="1" applyAlignment="1">
      <alignment horizontal="center" vertical="center"/>
    </xf>
    <xf numFmtId="0" fontId="18" fillId="43" borderId="55" xfId="0" applyFont="1" applyFill="1" applyBorder="1" applyAlignment="1">
      <alignment horizontal="center" vertical="center"/>
    </xf>
    <xf numFmtId="0" fontId="33" fillId="40" borderId="24" xfId="0" applyFont="1" applyFill="1" applyBorder="1" applyAlignment="1">
      <alignment horizontal="center" vertical="center" shrinkToFit="1"/>
    </xf>
    <xf numFmtId="0" fontId="33" fillId="40" borderId="25" xfId="0" applyFont="1" applyFill="1" applyBorder="1" applyAlignment="1">
      <alignment horizontal="center" vertical="center" shrinkToFit="1"/>
    </xf>
    <xf numFmtId="0" fontId="33" fillId="40" borderId="26" xfId="0" applyFont="1" applyFill="1" applyBorder="1" applyAlignment="1">
      <alignment horizontal="center" vertical="center" shrinkToFit="1"/>
    </xf>
    <xf numFmtId="0" fontId="4" fillId="36" borderId="52" xfId="0" applyFont="1" applyFill="1" applyBorder="1" applyAlignment="1" applyProtection="1">
      <alignment horizontal="center"/>
      <protection hidden="1"/>
    </xf>
    <xf numFmtId="0" fontId="4" fillId="36" borderId="12" xfId="0" applyFont="1" applyFill="1" applyBorder="1" applyAlignment="1" applyProtection="1">
      <alignment horizontal="center"/>
      <protection hidden="1"/>
    </xf>
    <xf numFmtId="0" fontId="4" fillId="36" borderId="27" xfId="0" applyFont="1" applyFill="1" applyBorder="1" applyAlignment="1" applyProtection="1">
      <alignment horizontal="center" shrinkToFit="1"/>
      <protection hidden="1"/>
    </xf>
    <xf numFmtId="0" fontId="4" fillId="36" borderId="0" xfId="0" applyFont="1" applyFill="1" applyBorder="1" applyAlignment="1" applyProtection="1">
      <alignment horizontal="center" shrinkToFit="1"/>
      <protection hidden="1"/>
    </xf>
    <xf numFmtId="0" fontId="4" fillId="36" borderId="65" xfId="0" applyFont="1" applyFill="1" applyBorder="1" applyAlignment="1" applyProtection="1">
      <alignment horizontal="center" shrinkToFit="1"/>
      <protection hidden="1"/>
    </xf>
    <xf numFmtId="0" fontId="5" fillId="23" borderId="36" xfId="0" applyFont="1" applyFill="1" applyBorder="1" applyAlignment="1">
      <alignment horizontal="center" vertical="center"/>
    </xf>
    <xf numFmtId="0" fontId="5" fillId="23" borderId="61" xfId="0" applyFont="1" applyFill="1" applyBorder="1" applyAlignment="1">
      <alignment horizontal="center" vertical="center"/>
    </xf>
    <xf numFmtId="0" fontId="15" fillId="0" borderId="29" xfId="0" applyFont="1" applyBorder="1" applyAlignment="1">
      <alignment horizontal="center" vertical="center"/>
    </xf>
    <xf numFmtId="0" fontId="15" fillId="0" borderId="17" xfId="0" applyFont="1" applyBorder="1" applyAlignment="1">
      <alignment horizontal="center" vertical="center"/>
    </xf>
    <xf numFmtId="0" fontId="15" fillId="0" borderId="30" xfId="0" applyFont="1" applyBorder="1" applyAlignment="1">
      <alignment horizontal="center" vertical="center"/>
    </xf>
    <xf numFmtId="0" fontId="11" fillId="38" borderId="44" xfId="0" applyFont="1" applyFill="1" applyBorder="1" applyAlignment="1">
      <alignment horizontal="right" vertical="center" shrinkToFit="1"/>
    </xf>
    <xf numFmtId="0" fontId="4" fillId="36" borderId="1" xfId="0" applyFont="1" applyFill="1" applyBorder="1" applyAlignment="1" applyProtection="1">
      <alignment horizontal="center"/>
      <protection hidden="1"/>
    </xf>
    <xf numFmtId="0" fontId="4" fillId="28" borderId="53" xfId="0" applyFont="1" applyFill="1" applyBorder="1" applyAlignment="1" applyProtection="1">
      <alignment horizontal="center"/>
      <protection hidden="1"/>
    </xf>
    <xf numFmtId="0" fontId="4" fillId="28" borderId="0" xfId="0" applyFont="1" applyFill="1" applyBorder="1" applyAlignment="1" applyProtection="1">
      <alignment horizontal="center" shrinkToFit="1"/>
      <protection hidden="1"/>
    </xf>
    <xf numFmtId="0" fontId="4" fillId="8" borderId="19" xfId="0" applyFont="1" applyFill="1" applyBorder="1" applyAlignment="1" applyProtection="1">
      <alignment horizontal="center"/>
      <protection hidden="1"/>
    </xf>
    <xf numFmtId="0" fontId="4" fillId="8" borderId="20" xfId="0" applyFont="1" applyFill="1" applyBorder="1" applyAlignment="1" applyProtection="1">
      <alignment horizontal="center"/>
      <protection hidden="1"/>
    </xf>
    <xf numFmtId="0" fontId="11" fillId="38" borderId="43" xfId="0" applyFont="1" applyFill="1" applyBorder="1" applyAlignment="1">
      <alignment horizontal="right" vertical="center" shrinkToFit="1"/>
    </xf>
    <xf numFmtId="0" fontId="11" fillId="38" borderId="1" xfId="0" applyFont="1" applyFill="1" applyBorder="1" applyAlignment="1">
      <alignment horizontal="right" vertical="center" shrinkToFit="1"/>
    </xf>
  </cellXfs>
  <cellStyles count="5">
    <cellStyle name="Hyperlink" xfId="1" builtinId="8"/>
    <cellStyle name="Hyperlink 2" xfId="3"/>
    <cellStyle name="Normal" xfId="0" builtinId="0"/>
    <cellStyle name="Normal 2" xfId="2"/>
    <cellStyle name="Normal 3" xfId="4"/>
  </cellStyles>
  <dxfs count="0"/>
  <tableStyles count="0" defaultTableStyle="TableStyleMedium2" defaultPivotStyle="PivotStyleLight16"/>
  <colors>
    <mruColors>
      <color rgb="FF5AF1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28575</xdr:colOff>
      <xdr:row>0</xdr:row>
      <xdr:rowOff>0</xdr:rowOff>
    </xdr:from>
    <xdr:to>
      <xdr:col>6</xdr:col>
      <xdr:colOff>28575</xdr:colOff>
      <xdr:row>3</xdr:row>
      <xdr:rowOff>57151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1232727725" y="0"/>
          <a:ext cx="1190625" cy="8191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66676</xdr:rowOff>
    </xdr:from>
    <xdr:to>
      <xdr:col>6</xdr:col>
      <xdr:colOff>581026</xdr:colOff>
      <xdr:row>2</xdr:row>
      <xdr:rowOff>38100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790674" y="66676"/>
          <a:ext cx="581026" cy="552449"/>
        </a:xfrm>
        <a:prstGeom prst="rect">
          <a:avLst/>
        </a:prstGeom>
      </xdr:spPr>
    </xdr:pic>
    <xdr:clientData/>
  </xdr:twoCellAnchor>
  <xdr:twoCellAnchor editAs="oneCell">
    <xdr:from>
      <xdr:col>0</xdr:col>
      <xdr:colOff>258494</xdr:colOff>
      <xdr:row>0</xdr:row>
      <xdr:rowOff>47626</xdr:rowOff>
    </xdr:from>
    <xdr:to>
      <xdr:col>0</xdr:col>
      <xdr:colOff>941656</xdr:colOff>
      <xdr:row>2</xdr:row>
      <xdr:rowOff>104775</xdr:rowOff>
    </xdr:to>
    <xdr:pic>
      <xdr:nvPicPr>
        <xdr:cNvPr id="6" name="Picture 5">
          <a:extLst>
            <a:ext uri="{FF2B5EF4-FFF2-40B4-BE49-F238E27FC236}">
              <a16:creationId xmlns:a16="http://schemas.microsoft.com/office/drawing/2014/main" id="{71E546CD-7817-4DA7-A314-79276CFDFB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9078369" y="47626"/>
          <a:ext cx="683162" cy="6381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400050</xdr:colOff>
      <xdr:row>0</xdr:row>
      <xdr:rowOff>1</xdr:rowOff>
    </xdr:from>
    <xdr:to>
      <xdr:col>4</xdr:col>
      <xdr:colOff>1400175</xdr:colOff>
      <xdr:row>3</xdr:row>
      <xdr:rowOff>12280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1233003950" y="1"/>
          <a:ext cx="1000125" cy="9743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228600</xdr:colOff>
      <xdr:row>0</xdr:row>
      <xdr:rowOff>0</xdr:rowOff>
    </xdr:from>
    <xdr:to>
      <xdr:col>5</xdr:col>
      <xdr:colOff>0</xdr:colOff>
      <xdr:row>0</xdr:row>
      <xdr:rowOff>933450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232918225" y="0"/>
          <a:ext cx="1276350" cy="93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ZhowanMarket@gmail.com" TargetMode="External"/><Relationship Id="rId1" Type="http://schemas.openxmlformats.org/officeDocument/2006/relationships/hyperlink" Target="https://shenasname.ir/"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ZhowanMarket@gmail.com" TargetMode="External"/><Relationship Id="rId1" Type="http://schemas.openxmlformats.org/officeDocument/2006/relationships/hyperlink" Target="https://shenasname.i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henasname.i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ZhowanMarket@gmail.com" TargetMode="External"/><Relationship Id="rId1" Type="http://schemas.openxmlformats.org/officeDocument/2006/relationships/hyperlink" Target="https://shenasname.ir/"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G82"/>
  <sheetViews>
    <sheetView rightToLeft="1" tabSelected="1" zoomScaleNormal="100" zoomScalePageLayoutView="70" workbookViewId="0">
      <selection activeCell="A9" sqref="A9"/>
    </sheetView>
  </sheetViews>
  <sheetFormatPr defaultColWidth="9" defaultRowHeight="18.75" x14ac:dyDescent="0.45"/>
  <cols>
    <col min="1" max="1" width="32.75" style="330" customWidth="1"/>
    <col min="2" max="2" width="15.625" style="330" customWidth="1"/>
    <col min="3" max="3" width="32.75" style="330" customWidth="1"/>
    <col min="4" max="4" width="15.625" style="330" customWidth="1"/>
    <col min="5" max="5" width="32.75" style="330" customWidth="1"/>
    <col min="6" max="6" width="15.625" style="330" customWidth="1"/>
    <col min="7" max="7" width="19.125" style="330" bestFit="1" customWidth="1"/>
    <col min="8" max="8" width="8.375" style="330" bestFit="1" customWidth="1"/>
    <col min="9" max="16384" width="9" style="330"/>
  </cols>
  <sheetData>
    <row r="1" spans="1:7" ht="20.25" x14ac:dyDescent="0.55000000000000004">
      <c r="A1" s="409" t="s">
        <v>406</v>
      </c>
      <c r="B1" s="410"/>
      <c r="C1" s="410"/>
      <c r="D1" s="410"/>
      <c r="E1" s="411"/>
      <c r="F1" s="415"/>
    </row>
    <row r="2" spans="1:7" ht="19.5" x14ac:dyDescent="0.5">
      <c r="A2" s="434" t="s">
        <v>405</v>
      </c>
      <c r="B2" s="435"/>
      <c r="C2" s="435"/>
      <c r="D2" s="435"/>
      <c r="E2" s="436"/>
      <c r="F2" s="416"/>
    </row>
    <row r="3" spans="1:7" ht="20.25" thickBot="1" x14ac:dyDescent="0.55000000000000004">
      <c r="A3" s="431" t="s">
        <v>335</v>
      </c>
      <c r="B3" s="432"/>
      <c r="C3" s="432"/>
      <c r="D3" s="432"/>
      <c r="E3" s="433"/>
      <c r="F3" s="417"/>
    </row>
    <row r="4" spans="1:7" ht="24" customHeight="1" thickBot="1" x14ac:dyDescent="0.5">
      <c r="A4" s="428" t="s">
        <v>249</v>
      </c>
      <c r="B4" s="429"/>
      <c r="C4" s="429"/>
      <c r="D4" s="429"/>
      <c r="E4" s="429"/>
      <c r="F4" s="430"/>
    </row>
    <row r="5" spans="1:7" ht="21" x14ac:dyDescent="0.55000000000000004">
      <c r="A5" s="4" t="s">
        <v>333</v>
      </c>
      <c r="B5" s="253" t="s">
        <v>32</v>
      </c>
      <c r="C5" s="4" t="s">
        <v>126</v>
      </c>
      <c r="D5" s="234">
        <v>0</v>
      </c>
      <c r="E5" s="4" t="s">
        <v>240</v>
      </c>
      <c r="F5" s="196" t="s">
        <v>209</v>
      </c>
      <c r="G5" s="331"/>
    </row>
    <row r="6" spans="1:7" ht="21" x14ac:dyDescent="0.55000000000000004">
      <c r="A6" s="5" t="s">
        <v>72</v>
      </c>
      <c r="B6" s="231" t="s">
        <v>75</v>
      </c>
      <c r="C6" s="5" t="s">
        <v>159</v>
      </c>
      <c r="D6" s="232" t="s">
        <v>91</v>
      </c>
      <c r="E6" s="5" t="s">
        <v>34</v>
      </c>
      <c r="F6" s="195" t="s">
        <v>31</v>
      </c>
      <c r="G6" s="331"/>
    </row>
    <row r="7" spans="1:7" ht="21" x14ac:dyDescent="0.55000000000000004">
      <c r="A7" s="5" t="s">
        <v>76</v>
      </c>
      <c r="B7" s="231" t="s">
        <v>78</v>
      </c>
      <c r="C7" s="5" t="s">
        <v>95</v>
      </c>
      <c r="D7" s="235">
        <v>120</v>
      </c>
      <c r="E7" s="5" t="s">
        <v>35</v>
      </c>
      <c r="F7" s="195">
        <v>0</v>
      </c>
      <c r="G7" s="331"/>
    </row>
    <row r="8" spans="1:7" ht="21" x14ac:dyDescent="0.55000000000000004">
      <c r="A8" s="5" t="s">
        <v>83</v>
      </c>
      <c r="B8" s="231">
        <v>0</v>
      </c>
      <c r="C8" s="5" t="s">
        <v>168</v>
      </c>
      <c r="D8" s="233">
        <v>0</v>
      </c>
      <c r="E8" s="5" t="s">
        <v>196</v>
      </c>
      <c r="F8" s="194">
        <v>620000</v>
      </c>
      <c r="G8" s="331"/>
    </row>
    <row r="9" spans="1:7" ht="21" x14ac:dyDescent="0.55000000000000004">
      <c r="A9" s="5" t="s">
        <v>118</v>
      </c>
      <c r="B9" s="232" t="s">
        <v>113</v>
      </c>
      <c r="C9" s="5" t="s">
        <v>129</v>
      </c>
      <c r="D9" s="233">
        <v>0</v>
      </c>
      <c r="E9" s="5" t="s">
        <v>197</v>
      </c>
      <c r="F9" s="194">
        <v>320000</v>
      </c>
      <c r="G9" s="331"/>
    </row>
    <row r="10" spans="1:7" ht="21" x14ac:dyDescent="0.55000000000000004">
      <c r="A10" s="5" t="s">
        <v>160</v>
      </c>
      <c r="B10" s="235">
        <v>20</v>
      </c>
      <c r="C10" s="5" t="s">
        <v>130</v>
      </c>
      <c r="D10" s="233">
        <v>0</v>
      </c>
      <c r="E10" s="5" t="s">
        <v>198</v>
      </c>
      <c r="F10" s="194">
        <v>4</v>
      </c>
      <c r="G10" s="331"/>
    </row>
    <row r="11" spans="1:7" ht="21" x14ac:dyDescent="0.55000000000000004">
      <c r="A11" s="5" t="s">
        <v>161</v>
      </c>
      <c r="B11" s="235">
        <v>1</v>
      </c>
      <c r="C11" s="5" t="s">
        <v>131</v>
      </c>
      <c r="D11" s="233">
        <v>0</v>
      </c>
      <c r="E11" s="5" t="s">
        <v>212</v>
      </c>
      <c r="F11" s="195" t="s">
        <v>32</v>
      </c>
      <c r="G11" s="331"/>
    </row>
    <row r="12" spans="1:7" ht="21" x14ac:dyDescent="0.55000000000000004">
      <c r="A12" s="5" t="s">
        <v>162</v>
      </c>
      <c r="B12" s="235">
        <v>20</v>
      </c>
      <c r="C12" s="5" t="s">
        <v>96</v>
      </c>
      <c r="D12" s="235">
        <v>0</v>
      </c>
      <c r="E12" s="5" t="s">
        <v>213</v>
      </c>
      <c r="F12" s="195" t="s">
        <v>32</v>
      </c>
      <c r="G12" s="331"/>
    </row>
    <row r="13" spans="1:7" ht="21" x14ac:dyDescent="0.55000000000000004">
      <c r="A13" s="5" t="s">
        <v>163</v>
      </c>
      <c r="B13" s="235">
        <v>1</v>
      </c>
      <c r="C13" s="5" t="s">
        <v>97</v>
      </c>
      <c r="D13" s="232">
        <v>0</v>
      </c>
      <c r="E13" s="5" t="s">
        <v>29</v>
      </c>
      <c r="F13" s="197">
        <v>70</v>
      </c>
      <c r="G13" s="331"/>
    </row>
    <row r="14" spans="1:7" ht="21" x14ac:dyDescent="0.55000000000000004">
      <c r="A14" s="5" t="s">
        <v>68</v>
      </c>
      <c r="B14" s="231">
        <v>4</v>
      </c>
      <c r="C14" s="5" t="s">
        <v>257</v>
      </c>
      <c r="D14" s="236" t="s">
        <v>32</v>
      </c>
      <c r="E14" s="5" t="s">
        <v>219</v>
      </c>
      <c r="F14" s="194">
        <v>0</v>
      </c>
      <c r="G14" s="331"/>
    </row>
    <row r="15" spans="1:7" ht="21" x14ac:dyDescent="0.55000000000000004">
      <c r="A15" s="5" t="s">
        <v>164</v>
      </c>
      <c r="B15" s="231" t="s">
        <v>69</v>
      </c>
      <c r="C15" s="5" t="s">
        <v>33</v>
      </c>
      <c r="D15" s="235" t="s">
        <v>32</v>
      </c>
      <c r="E15" s="5" t="s">
        <v>220</v>
      </c>
      <c r="F15" s="195" t="s">
        <v>221</v>
      </c>
      <c r="G15" s="331"/>
    </row>
    <row r="16" spans="1:7" ht="21" x14ac:dyDescent="0.55000000000000004">
      <c r="A16" s="5" t="s">
        <v>166</v>
      </c>
      <c r="B16" s="233">
        <v>0</v>
      </c>
      <c r="C16" s="5" t="s">
        <v>169</v>
      </c>
      <c r="D16" s="237">
        <v>0</v>
      </c>
      <c r="E16" s="5" t="s">
        <v>227</v>
      </c>
      <c r="F16" s="195" t="s">
        <v>32</v>
      </c>
      <c r="G16" s="331"/>
    </row>
    <row r="17" spans="1:7" ht="22.5" x14ac:dyDescent="0.55000000000000004">
      <c r="A17" s="5" t="s">
        <v>167</v>
      </c>
      <c r="B17" s="233">
        <v>0</v>
      </c>
      <c r="C17" s="5" t="s">
        <v>214</v>
      </c>
      <c r="D17" s="238">
        <v>0</v>
      </c>
      <c r="E17" s="5" t="s">
        <v>235</v>
      </c>
      <c r="F17" s="198" t="s">
        <v>232</v>
      </c>
      <c r="G17" s="331"/>
    </row>
    <row r="18" spans="1:7" ht="22.5" x14ac:dyDescent="0.55000000000000004">
      <c r="A18" s="5" t="s">
        <v>165</v>
      </c>
      <c r="B18" s="233">
        <v>250</v>
      </c>
      <c r="C18" s="5" t="s">
        <v>215</v>
      </c>
      <c r="D18" s="238">
        <v>0</v>
      </c>
      <c r="E18" s="5" t="s">
        <v>334</v>
      </c>
      <c r="F18" s="198">
        <v>30</v>
      </c>
    </row>
    <row r="19" spans="1:7" ht="22.5" x14ac:dyDescent="0.55000000000000004">
      <c r="A19" s="5" t="s">
        <v>23</v>
      </c>
      <c r="B19" s="235">
        <v>0</v>
      </c>
      <c r="C19" s="5" t="s">
        <v>173</v>
      </c>
      <c r="D19" s="235" t="s">
        <v>32</v>
      </c>
      <c r="E19" s="5" t="s">
        <v>244</v>
      </c>
      <c r="F19" s="199">
        <v>0</v>
      </c>
      <c r="G19" s="331"/>
    </row>
    <row r="20" spans="1:7" ht="21.75" thickBot="1" x14ac:dyDescent="0.6">
      <c r="A20" s="6" t="s">
        <v>24</v>
      </c>
      <c r="B20" s="266">
        <v>0</v>
      </c>
      <c r="C20" s="6" t="s">
        <v>174</v>
      </c>
      <c r="D20" s="239">
        <v>0</v>
      </c>
      <c r="E20" s="5" t="s">
        <v>128</v>
      </c>
      <c r="F20" s="194">
        <v>6000000</v>
      </c>
    </row>
    <row r="21" spans="1:7" ht="21.75" thickBot="1" x14ac:dyDescent="0.6">
      <c r="A21" s="424" t="s">
        <v>243</v>
      </c>
      <c r="B21" s="425"/>
      <c r="C21" s="426"/>
      <c r="D21" s="427"/>
      <c r="E21" s="5" t="s">
        <v>226</v>
      </c>
      <c r="F21" s="194">
        <v>0</v>
      </c>
      <c r="G21" s="331"/>
    </row>
    <row r="22" spans="1:7" ht="21" x14ac:dyDescent="0.55000000000000004">
      <c r="A22" s="111" t="s">
        <v>25</v>
      </c>
      <c r="B22" s="7">
        <f>محاسبات!B17</f>
        <v>8.6686470749999991</v>
      </c>
      <c r="C22" s="418" t="s">
        <v>187</v>
      </c>
      <c r="D22" s="419"/>
      <c r="E22" s="5" t="s">
        <v>225</v>
      </c>
      <c r="F22" s="194">
        <v>0</v>
      </c>
      <c r="G22" s="331"/>
    </row>
    <row r="23" spans="1:7" ht="21" customHeight="1" thickBot="1" x14ac:dyDescent="0.6">
      <c r="A23" s="112" t="s">
        <v>350</v>
      </c>
      <c r="B23" s="8">
        <f>SUM(حکم!C8,حکم!C10,حکم!C11,حکم!C15,حکم!C19)</f>
        <v>10597058.75</v>
      </c>
      <c r="C23" s="420" t="s">
        <v>188</v>
      </c>
      <c r="D23" s="421"/>
      <c r="E23" s="86" t="s">
        <v>36</v>
      </c>
      <c r="F23" s="194">
        <v>0</v>
      </c>
      <c r="G23" s="331"/>
    </row>
    <row r="24" spans="1:7" ht="21.75" thickBot="1" x14ac:dyDescent="0.6">
      <c r="A24" s="112" t="s">
        <v>64</v>
      </c>
      <c r="B24" s="240">
        <f>محاسبات!I21</f>
        <v>9995556.25</v>
      </c>
      <c r="C24" s="111" t="s">
        <v>242</v>
      </c>
      <c r="D24" s="242">
        <f>محاسبات!D46</f>
        <v>567213.60746735812</v>
      </c>
      <c r="E24" s="244" t="s">
        <v>37</v>
      </c>
      <c r="F24" s="245">
        <v>0</v>
      </c>
      <c r="G24" s="331"/>
    </row>
    <row r="25" spans="1:7" ht="21" x14ac:dyDescent="0.45">
      <c r="A25" s="113" t="s">
        <v>27</v>
      </c>
      <c r="B25" s="240">
        <f>حکم!E25-محاسبات!I21</f>
        <v>2424443.75</v>
      </c>
      <c r="C25" s="113" t="s">
        <v>28</v>
      </c>
      <c r="D25" s="243">
        <f>(B25*100)/محاسبات!I21</f>
        <v>24.255215911570705</v>
      </c>
      <c r="E25" s="422" t="s">
        <v>245</v>
      </c>
      <c r="F25" s="423"/>
      <c r="G25" s="331"/>
    </row>
    <row r="26" spans="1:7" ht="21.75" thickBot="1" x14ac:dyDescent="0.5">
      <c r="A26" s="114" t="s">
        <v>26</v>
      </c>
      <c r="B26" s="241">
        <f>حکم!E8/176</f>
        <v>56331.843132153132</v>
      </c>
      <c r="C26" s="114" t="s">
        <v>404</v>
      </c>
      <c r="D26" s="241">
        <f>حکم!E25</f>
        <v>12420000</v>
      </c>
      <c r="E26" s="413" t="s">
        <v>189</v>
      </c>
      <c r="F26" s="414"/>
      <c r="G26" s="331"/>
    </row>
    <row r="27" spans="1:7" x14ac:dyDescent="0.45">
      <c r="A27" s="332"/>
      <c r="B27" s="332"/>
      <c r="C27" s="332"/>
      <c r="G27" s="331"/>
    </row>
    <row r="28" spans="1:7" x14ac:dyDescent="0.45">
      <c r="A28" s="333"/>
      <c r="G28" s="331"/>
    </row>
    <row r="29" spans="1:7" x14ac:dyDescent="0.45">
      <c r="A29" s="334"/>
      <c r="G29" s="331"/>
    </row>
    <row r="30" spans="1:7" x14ac:dyDescent="0.45">
      <c r="A30" s="334"/>
      <c r="G30" s="331"/>
    </row>
    <row r="31" spans="1:7" x14ac:dyDescent="0.45">
      <c r="G31" s="331"/>
    </row>
    <row r="32" spans="1:7" x14ac:dyDescent="0.45">
      <c r="G32" s="331"/>
    </row>
    <row r="33" spans="4:7" x14ac:dyDescent="0.45">
      <c r="G33" s="331"/>
    </row>
    <row r="34" spans="4:7" x14ac:dyDescent="0.45">
      <c r="G34" s="331"/>
    </row>
    <row r="35" spans="4:7" x14ac:dyDescent="0.45">
      <c r="G35" s="331"/>
    </row>
    <row r="36" spans="4:7" x14ac:dyDescent="0.45">
      <c r="G36" s="331"/>
    </row>
    <row r="37" spans="4:7" x14ac:dyDescent="0.45">
      <c r="G37" s="331"/>
    </row>
    <row r="38" spans="4:7" x14ac:dyDescent="0.45">
      <c r="E38" s="331"/>
      <c r="G38" s="331"/>
    </row>
    <row r="39" spans="4:7" x14ac:dyDescent="0.45">
      <c r="E39" s="331"/>
      <c r="G39" s="331"/>
    </row>
    <row r="40" spans="4:7" x14ac:dyDescent="0.45">
      <c r="D40" s="331"/>
      <c r="E40" s="331"/>
      <c r="G40" s="331"/>
    </row>
    <row r="41" spans="4:7" x14ac:dyDescent="0.45">
      <c r="D41" s="331"/>
      <c r="E41" s="331"/>
      <c r="G41" s="331"/>
    </row>
    <row r="42" spans="4:7" x14ac:dyDescent="0.45">
      <c r="D42" s="331"/>
      <c r="E42" s="331"/>
      <c r="G42" s="331"/>
    </row>
    <row r="43" spans="4:7" x14ac:dyDescent="0.45">
      <c r="G43" s="331"/>
    </row>
    <row r="44" spans="4:7" x14ac:dyDescent="0.45">
      <c r="G44" s="331"/>
    </row>
    <row r="45" spans="4:7" ht="29.25" customHeight="1" x14ac:dyDescent="0.45">
      <c r="G45" s="331"/>
    </row>
    <row r="46" spans="4:7" ht="28.5" customHeight="1" x14ac:dyDescent="0.45">
      <c r="G46" s="331"/>
    </row>
    <row r="47" spans="4:7" x14ac:dyDescent="0.45">
      <c r="G47" s="331"/>
    </row>
    <row r="48" spans="4:7" x14ac:dyDescent="0.45">
      <c r="G48" s="331"/>
    </row>
    <row r="49" spans="4:7" x14ac:dyDescent="0.45">
      <c r="G49" s="331"/>
    </row>
    <row r="50" spans="4:7" x14ac:dyDescent="0.45">
      <c r="D50" s="412"/>
      <c r="E50" s="412"/>
      <c r="G50" s="331"/>
    </row>
    <row r="51" spans="4:7" x14ac:dyDescent="0.45">
      <c r="D51" s="412"/>
      <c r="E51" s="412"/>
      <c r="G51" s="331"/>
    </row>
    <row r="52" spans="4:7" x14ac:dyDescent="0.45">
      <c r="G52" s="331"/>
    </row>
    <row r="53" spans="4:7" x14ac:dyDescent="0.45">
      <c r="G53" s="331"/>
    </row>
    <row r="54" spans="4:7" x14ac:dyDescent="0.45">
      <c r="G54" s="331"/>
    </row>
    <row r="55" spans="4:7" x14ac:dyDescent="0.45">
      <c r="G55" s="331"/>
    </row>
    <row r="56" spans="4:7" x14ac:dyDescent="0.45">
      <c r="G56" s="331"/>
    </row>
    <row r="57" spans="4:7" x14ac:dyDescent="0.45">
      <c r="G57" s="331"/>
    </row>
    <row r="58" spans="4:7" x14ac:dyDescent="0.45">
      <c r="G58" s="331"/>
    </row>
    <row r="59" spans="4:7" x14ac:dyDescent="0.45">
      <c r="G59" s="331"/>
    </row>
    <row r="60" spans="4:7" x14ac:dyDescent="0.45">
      <c r="G60" s="331"/>
    </row>
    <row r="61" spans="4:7" x14ac:dyDescent="0.45">
      <c r="G61" s="331"/>
    </row>
    <row r="62" spans="4:7" x14ac:dyDescent="0.45">
      <c r="G62" s="331"/>
    </row>
    <row r="63" spans="4:7" x14ac:dyDescent="0.45">
      <c r="G63" s="331"/>
    </row>
    <row r="64" spans="4:7" x14ac:dyDescent="0.45">
      <c r="G64" s="331"/>
    </row>
    <row r="65" spans="7:7" x14ac:dyDescent="0.45">
      <c r="G65" s="331"/>
    </row>
    <row r="66" spans="7:7" x14ac:dyDescent="0.45">
      <c r="G66" s="331"/>
    </row>
    <row r="67" spans="7:7" x14ac:dyDescent="0.45">
      <c r="G67" s="331"/>
    </row>
    <row r="68" spans="7:7" x14ac:dyDescent="0.45">
      <c r="G68" s="331"/>
    </row>
    <row r="69" spans="7:7" x14ac:dyDescent="0.45">
      <c r="G69" s="331"/>
    </row>
    <row r="70" spans="7:7" x14ac:dyDescent="0.45">
      <c r="G70" s="331"/>
    </row>
    <row r="71" spans="7:7" x14ac:dyDescent="0.45">
      <c r="G71" s="331"/>
    </row>
    <row r="72" spans="7:7" x14ac:dyDescent="0.45">
      <c r="G72" s="331"/>
    </row>
    <row r="73" spans="7:7" x14ac:dyDescent="0.45">
      <c r="G73" s="331"/>
    </row>
    <row r="74" spans="7:7" x14ac:dyDescent="0.45">
      <c r="G74" s="331"/>
    </row>
    <row r="75" spans="7:7" x14ac:dyDescent="0.45">
      <c r="G75" s="331"/>
    </row>
    <row r="76" spans="7:7" x14ac:dyDescent="0.45">
      <c r="G76" s="331"/>
    </row>
    <row r="77" spans="7:7" x14ac:dyDescent="0.45">
      <c r="G77" s="331"/>
    </row>
    <row r="78" spans="7:7" x14ac:dyDescent="0.45">
      <c r="G78" s="331"/>
    </row>
    <row r="79" spans="7:7" x14ac:dyDescent="0.45">
      <c r="G79" s="331"/>
    </row>
    <row r="80" spans="7:7" x14ac:dyDescent="0.45">
      <c r="G80" s="331"/>
    </row>
    <row r="81" spans="7:7" x14ac:dyDescent="0.45">
      <c r="G81" s="331"/>
    </row>
    <row r="82" spans="7:7" x14ac:dyDescent="0.45">
      <c r="G82" s="331"/>
    </row>
  </sheetData>
  <sheetProtection algorithmName="SHA-512" hashValue="+6mqyOWWAqQD8DAQR+8eKZKfVGgcw6OEbMTX099UqUd8hgqbBrLyHChstK+ULrIu7jeHZ+m3vFw21WfxRPFGVw==" saltValue="K/pINkGpIWbAgIH8bdkkAA==" spinCount="100000" sheet="1" objects="1" scenarios="1"/>
  <mergeCells count="11">
    <mergeCell ref="A1:E1"/>
    <mergeCell ref="D50:E51"/>
    <mergeCell ref="E26:F26"/>
    <mergeCell ref="F1:F3"/>
    <mergeCell ref="C22:D22"/>
    <mergeCell ref="C23:D23"/>
    <mergeCell ref="E25:F25"/>
    <mergeCell ref="A21:D21"/>
    <mergeCell ref="A4:F4"/>
    <mergeCell ref="A3:E3"/>
    <mergeCell ref="A2:E2"/>
  </mergeCells>
  <hyperlinks>
    <hyperlink ref="E25" r:id="rId1"/>
    <hyperlink ref="E26" r:id="rId2"/>
  </hyperlinks>
  <pageMargins left="0.7" right="0.7" top="0.75" bottom="0.75" header="0.3" footer="0.3"/>
  <pageSetup paperSize="11" scale="55" orientation="landscape" r:id="rId3"/>
  <drawing r:id="rId4"/>
  <legacyDrawing r:id="rId5"/>
  <extLst>
    <ext xmlns:x14="http://schemas.microsoft.com/office/spreadsheetml/2009/9/main" uri="{CCE6A557-97BC-4b89-ADB6-D9C93CAAB3DF}">
      <x14:dataValidations xmlns:xm="http://schemas.microsoft.com/office/excel/2006/main" count="27">
        <x14:dataValidation type="list" allowBlank="1" showInputMessage="1" showErrorMessage="1">
          <x14:formula1>
            <xm:f>محاسبات!$K$18:$K$22</xm:f>
          </x14:formula1>
          <xm:sqref>B15</xm:sqref>
        </x14:dataValidation>
        <x14:dataValidation type="list" allowBlank="1" showInputMessage="1" showErrorMessage="1">
          <x14:formula1>
            <xm:f>محاسبات!$AH$17:$AH$28</xm:f>
          </x14:formula1>
          <xm:sqref>D20</xm:sqref>
        </x14:dataValidation>
        <x14:dataValidation type="list" allowBlank="1" showInputMessage="1" showErrorMessage="1">
          <x14:formula1>
            <xm:f>محاسبات!$A$19:$A$21</xm:f>
          </x14:formula1>
          <xm:sqref>D6</xm:sqref>
        </x14:dataValidation>
        <x14:dataValidation type="list" allowBlank="1" showInputMessage="1" showErrorMessage="1">
          <x14:formula1>
            <xm:f>محاسبات!$C$82:$C$87</xm:f>
          </x14:formula1>
          <xm:sqref>D14</xm:sqref>
        </x14:dataValidation>
        <x14:dataValidation type="list" allowBlank="1" showInputMessage="1" showErrorMessage="1">
          <x14:formula1>
            <xm:f>محاسبات!$H$1:$H$12</xm:f>
          </x14:formula1>
          <xm:sqref>B13 B11 D13</xm:sqref>
        </x14:dataValidation>
        <x14:dataValidation type="list" allowBlank="1" showInputMessage="1" showErrorMessage="1">
          <x14:formula1>
            <xm:f>محاسبات!$H$1:$H$36</xm:f>
          </x14:formula1>
          <xm:sqref>B12 B10</xm:sqref>
        </x14:dataValidation>
        <x14:dataValidation type="list" allowBlank="1" showInputMessage="1" showErrorMessage="1">
          <x14:formula1>
            <xm:f>محاسبات!$H$1:$H$9</xm:f>
          </x14:formula1>
          <xm:sqref>B8</xm:sqref>
        </x14:dataValidation>
        <x14:dataValidation type="list" allowBlank="1" showInputMessage="1" showErrorMessage="1">
          <x14:formula1>
            <xm:f>محاسبات!$G$1:$G$26</xm:f>
          </x14:formula1>
          <xm:sqref>D17:D18</xm:sqref>
        </x14:dataValidation>
        <x14:dataValidation type="list" allowBlank="1" showInputMessage="1" showErrorMessage="1">
          <x14:formula1>
            <xm:f>محاسبات!$K$2:$K$17</xm:f>
          </x14:formula1>
          <xm:sqref>B14</xm:sqref>
        </x14:dataValidation>
        <x14:dataValidation type="list" allowBlank="1" showInputMessage="1" showErrorMessage="1">
          <x14:formula1>
            <xm:f>محاسبات!$H$1:$H$11</xm:f>
          </x14:formula1>
          <xm:sqref>B16:B17 F10</xm:sqref>
        </x14:dataValidation>
        <x14:dataValidation type="list" allowBlank="1" showInputMessage="1" showErrorMessage="1">
          <x14:formula1>
            <xm:f>محاسبات!$H$1:$H$51</xm:f>
          </x14:formula1>
          <xm:sqref>D8</xm:sqref>
        </x14:dataValidation>
        <x14:dataValidation type="list" allowBlank="1" showInputMessage="1" showErrorMessage="1">
          <x14:formula1>
            <xm:f>محاسبات!$H$1:$H$10</xm:f>
          </x14:formula1>
          <xm:sqref>F7</xm:sqref>
        </x14:dataValidation>
        <x14:dataValidation type="list" allowBlank="1" showInputMessage="1" showErrorMessage="1">
          <x14:formula1>
            <xm:f>محاسبات!$H$1:$H$32</xm:f>
          </x14:formula1>
          <xm:sqref>F14 F18</xm:sqref>
        </x14:dataValidation>
        <x14:dataValidation type="list" allowBlank="1" showInputMessage="1" showErrorMessage="1">
          <x14:formula1>
            <xm:f>محاسبات!$H$1:$H$5</xm:f>
          </x14:formula1>
          <xm:sqref>F19</xm:sqref>
        </x14:dataValidation>
        <x14:dataValidation type="list" allowBlank="1" showInputMessage="1" showErrorMessage="1">
          <x14:formula1>
            <xm:f>محاسبات!$H$1:$H$8</xm:f>
          </x14:formula1>
          <xm:sqref>D12</xm:sqref>
        </x14:dataValidation>
        <x14:dataValidation type="list" allowBlank="1" showInputMessage="1" showErrorMessage="1">
          <x14:formula1>
            <xm:f>محاسبات!$E$18:$E$23</xm:f>
          </x14:formula1>
          <xm:sqref>D16</xm:sqref>
        </x14:dataValidation>
        <x14:dataValidation type="list" allowBlank="1" showInputMessage="1" showErrorMessage="1">
          <x14:formula1>
            <xm:f>محاسبات!$C$46:$C$47</xm:f>
          </x14:formula1>
          <xm:sqref>F15</xm:sqref>
        </x14:dataValidation>
        <x14:dataValidation type="list" allowBlank="1" showInputMessage="1" showErrorMessage="1">
          <x14:formula1>
            <xm:f>محاسبات!$C$54:$C$56</xm:f>
          </x14:formula1>
          <xm:sqref>F17</xm:sqref>
        </x14:dataValidation>
        <x14:dataValidation type="list" allowBlank="1" showInputMessage="1" showErrorMessage="1">
          <x14:formula1>
            <xm:f>محاسبات!$F$1:$F$2</xm:f>
          </x14:formula1>
          <xm:sqref>D19 B5 F16 F11:F12 F6</xm:sqref>
        </x14:dataValidation>
        <x14:dataValidation type="list" allowBlank="1" showInputMessage="1" showErrorMessage="1">
          <x14:formula1>
            <xm:f>محاسبات!$F$3:$F$4</xm:f>
          </x14:formula1>
          <xm:sqref>B6</xm:sqref>
        </x14:dataValidation>
        <x14:dataValidation type="list" allowBlank="1" showInputMessage="1" showErrorMessage="1">
          <x14:formula1>
            <xm:f>محاسبات!$F$5:$F$8</xm:f>
          </x14:formula1>
          <xm:sqref>B7</xm:sqref>
        </x14:dataValidation>
        <x14:dataValidation type="list" allowBlank="1" showInputMessage="1" showErrorMessage="1">
          <x14:formula1>
            <xm:f>محاسبات!$D$1:$D$4</xm:f>
          </x14:formula1>
          <xm:sqref>D15</xm:sqref>
        </x14:dataValidation>
        <x14:dataValidation type="list" allowBlank="1" showInputMessage="1" showErrorMessage="1">
          <x14:formula1>
            <xm:f>محاسبات!$C$1:$C$2</xm:f>
          </x14:formula1>
          <xm:sqref>F5</xm:sqref>
        </x14:dataValidation>
        <x14:dataValidation type="list" allowBlank="1" showInputMessage="1" showErrorMessage="1">
          <x14:formula1>
            <xm:f>'حق شاغل و مالیات'!$B$4:$B$9</xm:f>
          </x14:formula1>
          <xm:sqref>B9</xm:sqref>
        </x14:dataValidation>
        <x14:dataValidation type="list" allowBlank="1" showInputMessage="1" showErrorMessage="1">
          <x14:formula1>
            <xm:f>محاسبات!$B$111:$B$123</xm:f>
          </x14:formula1>
          <xm:sqref>D9</xm:sqref>
        </x14:dataValidation>
        <x14:dataValidation type="list" allowBlank="1" showInputMessage="1" showErrorMessage="1">
          <x14:formula1>
            <xm:f>محاسبات!$D$111:$D$123</xm:f>
          </x14:formula1>
          <xm:sqref>D10</xm:sqref>
        </x14:dataValidation>
        <x14:dataValidation type="list" allowBlank="1" showInputMessage="1" showErrorMessage="1">
          <x14:formula1>
            <xm:f>محاسبات!$F$111:$F$123</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G45"/>
  <sheetViews>
    <sheetView rightToLeft="1" zoomScaleNormal="100" workbookViewId="0">
      <selection activeCell="I39" sqref="I39"/>
    </sheetView>
  </sheetViews>
  <sheetFormatPr defaultColWidth="9.125" defaultRowHeight="18" x14ac:dyDescent="0.2"/>
  <cols>
    <col min="1" max="1" width="33.375" style="389" customWidth="1"/>
    <col min="2" max="2" width="13.75" style="389" customWidth="1"/>
    <col min="3" max="3" width="12.625" style="389" customWidth="1"/>
    <col min="4" max="4" width="6.125" style="389" customWidth="1"/>
    <col min="5" max="5" width="9.125" style="389" customWidth="1"/>
    <col min="6" max="6" width="8.25" style="389" customWidth="1"/>
    <col min="7" max="7" width="13.625" style="389" customWidth="1"/>
    <col min="8" max="16384" width="9.125" style="389"/>
  </cols>
  <sheetData>
    <row r="1" spans="1:7" x14ac:dyDescent="0.2">
      <c r="A1" s="489"/>
      <c r="B1" s="491" t="s">
        <v>351</v>
      </c>
      <c r="C1" s="491"/>
      <c r="D1" s="491"/>
      <c r="E1" s="391"/>
      <c r="F1" s="391"/>
      <c r="G1" s="391"/>
    </row>
    <row r="2" spans="1:7" ht="27.75" customHeight="1" x14ac:dyDescent="0.2">
      <c r="A2" s="489"/>
      <c r="B2" s="492" t="s">
        <v>352</v>
      </c>
      <c r="C2" s="492"/>
      <c r="D2" s="492"/>
      <c r="E2" s="494"/>
      <c r="F2" s="494"/>
      <c r="G2" s="391"/>
    </row>
    <row r="3" spans="1:7" ht="18.75" thickBot="1" x14ac:dyDescent="0.45">
      <c r="A3" s="490"/>
      <c r="B3" s="493" t="s">
        <v>353</v>
      </c>
      <c r="C3" s="493"/>
      <c r="D3" s="493"/>
      <c r="E3" s="408">
        <f>ROUND('ورود اطلاعات'!B22,2)</f>
        <v>8.67</v>
      </c>
      <c r="F3" s="437" t="s">
        <v>245</v>
      </c>
      <c r="G3" s="437"/>
    </row>
    <row r="4" spans="1:7" x14ac:dyDescent="0.2">
      <c r="A4" s="481" t="s">
        <v>354</v>
      </c>
      <c r="B4" s="482"/>
      <c r="C4" s="483" t="s">
        <v>355</v>
      </c>
      <c r="D4" s="484"/>
      <c r="E4" s="484"/>
      <c r="F4" s="484"/>
      <c r="G4" s="485"/>
    </row>
    <row r="5" spans="1:7" x14ac:dyDescent="0.2">
      <c r="A5" s="392" t="s">
        <v>356</v>
      </c>
      <c r="B5" s="480" t="s">
        <v>357</v>
      </c>
      <c r="C5" s="449"/>
      <c r="D5" s="450"/>
      <c r="E5" s="495" t="s">
        <v>358</v>
      </c>
      <c r="F5" s="443"/>
      <c r="G5" s="444"/>
    </row>
    <row r="6" spans="1:7" x14ac:dyDescent="0.2">
      <c r="A6" s="392" t="s">
        <v>359</v>
      </c>
      <c r="B6" s="480" t="s">
        <v>360</v>
      </c>
      <c r="C6" s="449"/>
      <c r="D6" s="449"/>
      <c r="E6" s="496" t="str">
        <f>"10"&amp;" - "&amp;"مدرک تحصیلی :    "&amp;'ورود اطلاعات'!B9</f>
        <v>10 - مدرک تحصیلی :    دیپلم</v>
      </c>
      <c r="F6" s="496"/>
      <c r="G6" s="497"/>
    </row>
    <row r="7" spans="1:7" x14ac:dyDescent="0.2">
      <c r="A7" s="402" t="s">
        <v>361</v>
      </c>
      <c r="B7" s="480" t="s">
        <v>362</v>
      </c>
      <c r="C7" s="449"/>
      <c r="D7" s="449"/>
      <c r="E7" s="496" t="str">
        <f>" جنسیت :      "&amp;'ورود اطلاعات'!B6</f>
        <v xml:space="preserve"> جنسیت :      زن</v>
      </c>
      <c r="F7" s="496"/>
      <c r="G7" s="497"/>
    </row>
    <row r="8" spans="1:7" x14ac:dyDescent="0.2">
      <c r="A8" s="448" t="s">
        <v>363</v>
      </c>
      <c r="B8" s="449"/>
      <c r="C8" s="449"/>
      <c r="D8" s="449"/>
      <c r="E8" s="449"/>
      <c r="F8" s="449" t="s">
        <v>364</v>
      </c>
      <c r="G8" s="474"/>
    </row>
    <row r="9" spans="1:7" x14ac:dyDescent="0.2">
      <c r="A9" s="401" t="s">
        <v>398</v>
      </c>
      <c r="B9" s="479" t="s">
        <v>399</v>
      </c>
      <c r="C9" s="479"/>
      <c r="D9" s="449">
        <f>'ورود اطلاعات'!B14</f>
        <v>4</v>
      </c>
      <c r="E9" s="449"/>
      <c r="F9" s="390" t="s">
        <v>365</v>
      </c>
      <c r="G9" s="403" t="str">
        <f>'ورود اطلاعات'!B15</f>
        <v>مقدماتی</v>
      </c>
    </row>
    <row r="10" spans="1:7" x14ac:dyDescent="0.2">
      <c r="A10" s="448" t="str">
        <f>"۱۳"&amp;" - "&amp;"سنوات قابل قبول :       "&amp;'ورود اطلاعات'!B10&amp;" سال و  "&amp;'ورود اطلاعات'!B11&amp;" ماه و  "&amp;" ۰ "&amp;"روز"</f>
        <v>۱۳ - سنوات قابل قبول :       20 سال و  1 ماه و   ۰ روز</v>
      </c>
      <c r="B10" s="450"/>
      <c r="C10" s="480" t="s">
        <v>366</v>
      </c>
      <c r="D10" s="449"/>
      <c r="E10" s="449"/>
      <c r="F10" s="449"/>
      <c r="G10" s="474"/>
    </row>
    <row r="11" spans="1:7" x14ac:dyDescent="0.2">
      <c r="A11" s="448" t="s">
        <v>402</v>
      </c>
      <c r="B11" s="449"/>
      <c r="C11" s="449"/>
      <c r="D11" s="449"/>
      <c r="E11" s="449"/>
      <c r="F11" s="449"/>
      <c r="G11" s="474"/>
    </row>
    <row r="12" spans="1:7" x14ac:dyDescent="0.2">
      <c r="A12" s="448" t="s">
        <v>367</v>
      </c>
      <c r="B12" s="450"/>
      <c r="C12" s="407" t="s">
        <v>407</v>
      </c>
      <c r="D12" s="406"/>
      <c r="E12" s="449" t="str">
        <f>IF('ورود اطلاعات'!D15="خیر","  -  ",'ورود اطلاعات'!D15)</f>
        <v xml:space="preserve">  -  </v>
      </c>
      <c r="F12" s="449"/>
      <c r="G12" s="474"/>
    </row>
    <row r="13" spans="1:7" ht="18.75" thickBot="1" x14ac:dyDescent="0.25">
      <c r="A13" s="440" t="str">
        <f>"۱۸"&amp;" - "&amp;"وضعیت تاهل :   "&amp;'ورود اطلاعات'!B7&amp;"                    "&amp;"تعداد فرزند :    "&amp;'ورود اطلاعات'!B8</f>
        <v>۱۸ - وضعیت تاهل :   مجرد                    تعداد فرزند :    0</v>
      </c>
      <c r="B13" s="441"/>
      <c r="C13" s="475" t="s">
        <v>403</v>
      </c>
      <c r="D13" s="476"/>
      <c r="E13" s="476"/>
      <c r="F13" s="476"/>
      <c r="G13" s="477"/>
    </row>
    <row r="14" spans="1:7" x14ac:dyDescent="0.2">
      <c r="A14" s="455" t="s">
        <v>368</v>
      </c>
      <c r="B14" s="456"/>
      <c r="C14" s="457" t="s">
        <v>369</v>
      </c>
      <c r="D14" s="458"/>
      <c r="E14" s="478"/>
      <c r="F14" s="404" t="s">
        <v>1</v>
      </c>
      <c r="G14" s="405" t="s">
        <v>39</v>
      </c>
    </row>
    <row r="15" spans="1:7" ht="18.75" x14ac:dyDescent="0.2">
      <c r="A15" s="438" t="str">
        <f>"در اجرای تصویب نامه شماره 32051/ت55313ه مورخ 1397/03/19 هیات وزیران از تاریخ اجرای این حکم میزان ضریب حقوق 1797 ریال برای سال 97 قابل احتساب می باشد. همچنین مبلغ   " &amp;حکم!D28&amp; "  ریال افزایش ناشی از اعمال ضریب تعدیل به میزان  "&amp;E3 &amp;"   درصد در حکم فوق اعمال گردیده است."</f>
        <v>در اجرای تصویب نامه شماره 32051/ت55313ه مورخ 1397/03/19 هیات وزیران از تاریخ اجرای این حکم میزان ضریب حقوق 1797 ریال برای سال 97 قابل احتساب می باشد. همچنین مبلغ   918622  ریال افزایش ناشی از اعمال ضریب تعدیل به میزان  8.67   درصد در حکم فوق اعمال گردیده است.</v>
      </c>
      <c r="B15" s="439"/>
      <c r="C15" s="470" t="s">
        <v>370</v>
      </c>
      <c r="D15" s="473" t="s">
        <v>6</v>
      </c>
      <c r="E15" s="469"/>
      <c r="F15" s="399">
        <f>حکم!B5</f>
        <v>3000</v>
      </c>
      <c r="G15" s="397">
        <f>حکم!E5</f>
        <v>5858326.7638132498</v>
      </c>
    </row>
    <row r="16" spans="1:7" ht="18.75" x14ac:dyDescent="0.2">
      <c r="A16" s="438"/>
      <c r="B16" s="439"/>
      <c r="C16" s="471"/>
      <c r="D16" s="473" t="s">
        <v>7</v>
      </c>
      <c r="E16" s="469"/>
      <c r="F16" s="399">
        <f>حکم!B6</f>
        <v>0</v>
      </c>
      <c r="G16" s="397">
        <f>حکم!E6</f>
        <v>0</v>
      </c>
    </row>
    <row r="17" spans="1:7" ht="18.75" x14ac:dyDescent="0.2">
      <c r="A17" s="438"/>
      <c r="B17" s="439"/>
      <c r="C17" s="471"/>
      <c r="D17" s="473" t="s">
        <v>8</v>
      </c>
      <c r="E17" s="469"/>
      <c r="F17" s="399">
        <f>حکم!B7</f>
        <v>2077.0833333333335</v>
      </c>
      <c r="G17" s="397">
        <f>حکم!E7</f>
        <v>4056077.627445702</v>
      </c>
    </row>
    <row r="18" spans="1:7" ht="18.75" x14ac:dyDescent="0.2">
      <c r="A18" s="438"/>
      <c r="B18" s="439"/>
      <c r="C18" s="472"/>
      <c r="D18" s="473" t="s">
        <v>9</v>
      </c>
      <c r="E18" s="469"/>
      <c r="F18" s="399">
        <f>حکم!B8</f>
        <v>5077.0833333333339</v>
      </c>
      <c r="G18" s="397">
        <f>حکم!E8</f>
        <v>9914404.3912589513</v>
      </c>
    </row>
    <row r="19" spans="1:7" ht="18.75" x14ac:dyDescent="0.2">
      <c r="A19" s="438"/>
      <c r="B19" s="439"/>
      <c r="C19" s="467" t="s">
        <v>371</v>
      </c>
      <c r="D19" s="468"/>
      <c r="E19" s="469"/>
      <c r="F19" s="399">
        <f>حکم!B9</f>
        <v>0</v>
      </c>
      <c r="G19" s="397">
        <f>حکم!E9</f>
        <v>0</v>
      </c>
    </row>
    <row r="20" spans="1:7" ht="18.75" x14ac:dyDescent="0.2">
      <c r="A20" s="438"/>
      <c r="B20" s="439"/>
      <c r="C20" s="467" t="s">
        <v>372</v>
      </c>
      <c r="D20" s="468"/>
      <c r="E20" s="469"/>
      <c r="F20" s="399">
        <f>حکم!B10</f>
        <v>700</v>
      </c>
      <c r="G20" s="397">
        <f>حکم!E10</f>
        <v>1366942.911556425</v>
      </c>
    </row>
    <row r="21" spans="1:7" ht="18.75" x14ac:dyDescent="0.2">
      <c r="A21" s="438"/>
      <c r="B21" s="439"/>
      <c r="C21" s="467" t="s">
        <v>373</v>
      </c>
      <c r="D21" s="468"/>
      <c r="E21" s="469"/>
      <c r="F21" s="399">
        <f>حکم!B11</f>
        <v>0</v>
      </c>
      <c r="G21" s="397">
        <f>حکم!E11</f>
        <v>0</v>
      </c>
    </row>
    <row r="22" spans="1:7" ht="18.75" x14ac:dyDescent="0.2">
      <c r="A22" s="438"/>
      <c r="B22" s="439"/>
      <c r="C22" s="467" t="s">
        <v>374</v>
      </c>
      <c r="D22" s="468"/>
      <c r="E22" s="469"/>
      <c r="F22" s="399">
        <f>حکم!B12</f>
        <v>0</v>
      </c>
      <c r="G22" s="397">
        <f>حکم!E12</f>
        <v>0</v>
      </c>
    </row>
    <row r="23" spans="1:7" ht="18.75" x14ac:dyDescent="0.2">
      <c r="A23" s="438"/>
      <c r="B23" s="439"/>
      <c r="C23" s="467" t="s">
        <v>375</v>
      </c>
      <c r="D23" s="468"/>
      <c r="E23" s="469"/>
      <c r="F23" s="399">
        <f>حکم!B13</f>
        <v>0</v>
      </c>
      <c r="G23" s="397">
        <f>حکم!E13</f>
        <v>0</v>
      </c>
    </row>
    <row r="24" spans="1:7" ht="18.75" x14ac:dyDescent="0.2">
      <c r="A24" s="455"/>
      <c r="B24" s="456"/>
      <c r="C24" s="467" t="s">
        <v>376</v>
      </c>
      <c r="D24" s="468"/>
      <c r="E24" s="469"/>
      <c r="F24" s="399">
        <f>حکم!B14</f>
        <v>0</v>
      </c>
      <c r="G24" s="397">
        <f>حکم!E14</f>
        <v>0</v>
      </c>
    </row>
    <row r="25" spans="1:7" ht="18.75" x14ac:dyDescent="0.2">
      <c r="A25" s="455"/>
      <c r="B25" s="456"/>
      <c r="C25" s="467" t="s">
        <v>377</v>
      </c>
      <c r="D25" s="468"/>
      <c r="E25" s="469"/>
      <c r="F25" s="399">
        <f>حکم!B15</f>
        <v>0</v>
      </c>
      <c r="G25" s="397">
        <f>حکم!E15</f>
        <v>0</v>
      </c>
    </row>
    <row r="26" spans="1:7" ht="18.75" x14ac:dyDescent="0.2">
      <c r="A26" s="455"/>
      <c r="B26" s="456"/>
      <c r="C26" s="467" t="s">
        <v>378</v>
      </c>
      <c r="D26" s="468"/>
      <c r="E26" s="469"/>
      <c r="F26" s="399">
        <f>حکم!B16</f>
        <v>0</v>
      </c>
      <c r="G26" s="397">
        <f>حکم!E16</f>
        <v>0</v>
      </c>
    </row>
    <row r="27" spans="1:7" ht="18.75" x14ac:dyDescent="0.2">
      <c r="A27" s="455"/>
      <c r="B27" s="456"/>
      <c r="C27" s="467" t="s">
        <v>379</v>
      </c>
      <c r="D27" s="468"/>
      <c r="E27" s="469"/>
      <c r="F27" s="399">
        <f>حکم!B17</f>
        <v>0</v>
      </c>
      <c r="G27" s="397">
        <f>حکم!E17</f>
        <v>0</v>
      </c>
    </row>
    <row r="28" spans="1:7" ht="18.75" x14ac:dyDescent="0.2">
      <c r="A28" s="393"/>
      <c r="B28" s="394"/>
      <c r="C28" s="448" t="s">
        <v>391</v>
      </c>
      <c r="D28" s="449"/>
      <c r="E28" s="450"/>
      <c r="F28" s="399">
        <f>حکم!B18</f>
        <v>0</v>
      </c>
      <c r="G28" s="397">
        <f>حکم!E18</f>
        <v>0</v>
      </c>
    </row>
    <row r="29" spans="1:7" ht="18.75" x14ac:dyDescent="0.2">
      <c r="A29" s="455"/>
      <c r="B29" s="456"/>
      <c r="C29" s="467" t="s">
        <v>392</v>
      </c>
      <c r="D29" s="468"/>
      <c r="E29" s="469"/>
      <c r="F29" s="399">
        <f>حکم!B19</f>
        <v>120</v>
      </c>
      <c r="G29" s="397">
        <f>حکم!E19</f>
        <v>234333.07055253</v>
      </c>
    </row>
    <row r="30" spans="1:7" ht="18.75" x14ac:dyDescent="0.2">
      <c r="A30" s="455"/>
      <c r="B30" s="456"/>
      <c r="C30" s="467" t="s">
        <v>393</v>
      </c>
      <c r="D30" s="468"/>
      <c r="E30" s="469"/>
      <c r="F30" s="399">
        <f>حکم!B20</f>
        <v>0</v>
      </c>
      <c r="G30" s="397">
        <f>حکم!E20</f>
        <v>0</v>
      </c>
    </row>
    <row r="31" spans="1:7" ht="18.75" x14ac:dyDescent="0.2">
      <c r="A31" s="455"/>
      <c r="B31" s="456"/>
      <c r="C31" s="467" t="s">
        <v>394</v>
      </c>
      <c r="D31" s="468"/>
      <c r="E31" s="469"/>
      <c r="F31" s="399">
        <f>حکم!B21</f>
        <v>0</v>
      </c>
      <c r="G31" s="397">
        <f>حکم!E21</f>
        <v>0</v>
      </c>
    </row>
    <row r="32" spans="1:7" ht="18.75" x14ac:dyDescent="0.2">
      <c r="A32" s="455"/>
      <c r="B32" s="456"/>
      <c r="C32" s="467" t="s">
        <v>395</v>
      </c>
      <c r="D32" s="468"/>
      <c r="E32" s="469"/>
      <c r="F32" s="399">
        <f>حکم!B22</f>
        <v>0</v>
      </c>
      <c r="G32" s="397">
        <f>حکم!E22</f>
        <v>0</v>
      </c>
    </row>
    <row r="33" spans="1:7" ht="18.75" x14ac:dyDescent="0.2">
      <c r="A33" s="455"/>
      <c r="B33" s="456"/>
      <c r="C33" s="467" t="s">
        <v>396</v>
      </c>
      <c r="D33" s="468"/>
      <c r="E33" s="469"/>
      <c r="F33" s="399">
        <f>حکم!B23</f>
        <v>0</v>
      </c>
      <c r="G33" s="397">
        <f>حکم!E23</f>
        <v>0</v>
      </c>
    </row>
    <row r="34" spans="1:7" ht="18.75" x14ac:dyDescent="0.2">
      <c r="A34" s="455"/>
      <c r="B34" s="456"/>
      <c r="C34" s="467" t="s">
        <v>397</v>
      </c>
      <c r="D34" s="468"/>
      <c r="E34" s="469"/>
      <c r="F34" s="399">
        <f>حکم!B24</f>
        <v>0</v>
      </c>
      <c r="G34" s="397">
        <f>حکم!E24</f>
        <v>904319.62663209438</v>
      </c>
    </row>
    <row r="35" spans="1:7" ht="19.5" thickBot="1" x14ac:dyDescent="0.25">
      <c r="A35" s="455"/>
      <c r="B35" s="456"/>
      <c r="C35" s="460" t="s">
        <v>380</v>
      </c>
      <c r="D35" s="461"/>
      <c r="E35" s="462"/>
      <c r="F35" s="400">
        <f>حکم!B25</f>
        <v>5897.0833333333339</v>
      </c>
      <c r="G35" s="398">
        <f>حکم!E25</f>
        <v>12420000</v>
      </c>
    </row>
    <row r="36" spans="1:7" x14ac:dyDescent="0.2">
      <c r="A36" s="442" t="str">
        <f>"22 - حقوق و فوق العاده های مندرج در حکم جمعا به مبلغ :   "&amp;حکم!E28&amp;" ریال  "</f>
        <v xml:space="preserve">22 - حقوق و فوق العاده های مندرج در حکم جمعا به مبلغ :   12420000 ریال  </v>
      </c>
      <c r="B36" s="443"/>
      <c r="C36" s="456"/>
      <c r="D36" s="456"/>
      <c r="E36" s="456"/>
      <c r="F36" s="456"/>
      <c r="G36" s="463"/>
    </row>
    <row r="37" spans="1:7" x14ac:dyDescent="0.2">
      <c r="A37" s="464" t="s">
        <v>381</v>
      </c>
      <c r="B37" s="465"/>
      <c r="C37" s="465"/>
      <c r="D37" s="465"/>
      <c r="E37" s="465"/>
      <c r="F37" s="465"/>
      <c r="G37" s="466"/>
    </row>
    <row r="38" spans="1:7" x14ac:dyDescent="0.2">
      <c r="A38" s="442" t="s">
        <v>400</v>
      </c>
      <c r="B38" s="443"/>
      <c r="C38" s="443"/>
      <c r="D38" s="443"/>
      <c r="E38" s="443"/>
      <c r="F38" s="443"/>
      <c r="G38" s="444"/>
    </row>
    <row r="39" spans="1:7" ht="18.75" thickBot="1" x14ac:dyDescent="0.25">
      <c r="A39" s="393" t="s">
        <v>382</v>
      </c>
      <c r="B39" s="395"/>
      <c r="C39" s="395"/>
      <c r="D39" s="446" t="s">
        <v>383</v>
      </c>
      <c r="E39" s="446"/>
      <c r="F39" s="446"/>
      <c r="G39" s="447"/>
    </row>
    <row r="40" spans="1:7" x14ac:dyDescent="0.2">
      <c r="A40" s="451" t="s">
        <v>384</v>
      </c>
      <c r="B40" s="452"/>
      <c r="C40" s="453"/>
      <c r="D40" s="453"/>
      <c r="E40" s="453"/>
      <c r="F40" s="453"/>
      <c r="G40" s="454"/>
    </row>
    <row r="41" spans="1:7" x14ac:dyDescent="0.2">
      <c r="A41" s="455" t="s">
        <v>385</v>
      </c>
      <c r="B41" s="456"/>
      <c r="C41" s="395"/>
      <c r="D41" s="395"/>
      <c r="E41" s="395"/>
      <c r="F41" s="395"/>
      <c r="G41" s="396"/>
    </row>
    <row r="42" spans="1:7" x14ac:dyDescent="0.2">
      <c r="A42" s="457" t="s">
        <v>386</v>
      </c>
      <c r="B42" s="458"/>
      <c r="C42" s="458" t="s">
        <v>387</v>
      </c>
      <c r="D42" s="458"/>
      <c r="E42" s="458"/>
      <c r="F42" s="458" t="s">
        <v>388</v>
      </c>
      <c r="G42" s="459"/>
    </row>
    <row r="43" spans="1:7" x14ac:dyDescent="0.2">
      <c r="A43" s="442" t="s">
        <v>389</v>
      </c>
      <c r="B43" s="443"/>
      <c r="C43" s="443"/>
      <c r="D43" s="443"/>
      <c r="E43" s="443"/>
      <c r="F43" s="443"/>
      <c r="G43" s="444"/>
    </row>
    <row r="44" spans="1:7" ht="18.75" thickBot="1" x14ac:dyDescent="0.25">
      <c r="A44" s="445" t="s">
        <v>390</v>
      </c>
      <c r="B44" s="446"/>
      <c r="C44" s="446"/>
      <c r="D44" s="446"/>
      <c r="E44" s="446"/>
      <c r="F44" s="446"/>
      <c r="G44" s="447"/>
    </row>
    <row r="45" spans="1:7" ht="21" customHeight="1" x14ac:dyDescent="0.2">
      <c r="A45" s="486" t="s">
        <v>401</v>
      </c>
      <c r="B45" s="486"/>
      <c r="C45" s="486"/>
      <c r="D45" s="486"/>
      <c r="E45" s="487" t="s">
        <v>189</v>
      </c>
      <c r="F45" s="488"/>
      <c r="G45" s="488"/>
    </row>
  </sheetData>
  <sheetProtection algorithmName="SHA-512" hashValue="mpQkeDIfZPnwX+nfdZqnbsHqASUpmxuoq37uI5IcYla8Otz1ouSq18xtlzM4LBJ6IMbZXCSfnZondtwPPthS7Q==" saltValue="X70RFLosPYC5kjvenp7bdA==" spinCount="100000" sheet="1" objects="1" scenarios="1"/>
  <mergeCells count="75">
    <mergeCell ref="A4:B4"/>
    <mergeCell ref="C4:G4"/>
    <mergeCell ref="A45:D45"/>
    <mergeCell ref="E45:G45"/>
    <mergeCell ref="A1:A3"/>
    <mergeCell ref="B1:D1"/>
    <mergeCell ref="B2:D2"/>
    <mergeCell ref="B3:D3"/>
    <mergeCell ref="E2:F2"/>
    <mergeCell ref="B5:D5"/>
    <mergeCell ref="E5:G5"/>
    <mergeCell ref="B6:D6"/>
    <mergeCell ref="E6:G6"/>
    <mergeCell ref="B7:D7"/>
    <mergeCell ref="E7:G7"/>
    <mergeCell ref="A8:E8"/>
    <mergeCell ref="F8:G8"/>
    <mergeCell ref="B9:C9"/>
    <mergeCell ref="D9:E9"/>
    <mergeCell ref="A10:B10"/>
    <mergeCell ref="C10:G10"/>
    <mergeCell ref="A11:G11"/>
    <mergeCell ref="A12:B12"/>
    <mergeCell ref="C13:G13"/>
    <mergeCell ref="A14:B14"/>
    <mergeCell ref="C14:E14"/>
    <mergeCell ref="E12:G12"/>
    <mergeCell ref="C15:C18"/>
    <mergeCell ref="D15:E15"/>
    <mergeCell ref="D16:E16"/>
    <mergeCell ref="D17:E17"/>
    <mergeCell ref="D18:E18"/>
    <mergeCell ref="C22:E22"/>
    <mergeCell ref="C23:E23"/>
    <mergeCell ref="A24:B24"/>
    <mergeCell ref="C24:E24"/>
    <mergeCell ref="C19:E19"/>
    <mergeCell ref="C20:E20"/>
    <mergeCell ref="C21:E21"/>
    <mergeCell ref="A25:B25"/>
    <mergeCell ref="C25:E25"/>
    <mergeCell ref="A26:B26"/>
    <mergeCell ref="C26:E26"/>
    <mergeCell ref="A27:B27"/>
    <mergeCell ref="C27:E27"/>
    <mergeCell ref="A29:B29"/>
    <mergeCell ref="C29:E29"/>
    <mergeCell ref="A30:B30"/>
    <mergeCell ref="C30:E30"/>
    <mergeCell ref="A31:B31"/>
    <mergeCell ref="C31:E31"/>
    <mergeCell ref="A38:G38"/>
    <mergeCell ref="D39:G39"/>
    <mergeCell ref="A32:B32"/>
    <mergeCell ref="C32:E32"/>
    <mergeCell ref="A33:B33"/>
    <mergeCell ref="C33:E33"/>
    <mergeCell ref="A34:B34"/>
    <mergeCell ref="C34:E34"/>
    <mergeCell ref="F3:G3"/>
    <mergeCell ref="A15:B23"/>
    <mergeCell ref="A13:B13"/>
    <mergeCell ref="A43:G43"/>
    <mergeCell ref="A44:G44"/>
    <mergeCell ref="C28:E28"/>
    <mergeCell ref="A40:B40"/>
    <mergeCell ref="C40:G40"/>
    <mergeCell ref="A41:B41"/>
    <mergeCell ref="A42:B42"/>
    <mergeCell ref="C42:E42"/>
    <mergeCell ref="F42:G42"/>
    <mergeCell ref="A35:B35"/>
    <mergeCell ref="C35:E35"/>
    <mergeCell ref="A36:G36"/>
    <mergeCell ref="A37:G37"/>
  </mergeCells>
  <hyperlinks>
    <hyperlink ref="F3" r:id="rId1"/>
    <hyperlink ref="E45" r:id="rId2"/>
  </hyperlinks>
  <printOptions horizontalCentered="1" verticalCentered="1"/>
  <pageMargins left="0.31496062992125984" right="0.31496062992125984" top="0.39370078740157483" bottom="0.15748031496062992" header="0" footer="0"/>
  <pageSetup paperSize="9" scale="92"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E35"/>
  <sheetViews>
    <sheetView rightToLeft="1" topLeftCell="A16" zoomScaleNormal="100" zoomScaleSheetLayoutView="100" workbookViewId="0">
      <selection activeCell="B28" sqref="B28"/>
    </sheetView>
  </sheetViews>
  <sheetFormatPr defaultColWidth="9" defaultRowHeight="14.25" x14ac:dyDescent="0.2"/>
  <cols>
    <col min="1" max="1" width="35" style="9" customWidth="1"/>
    <col min="2" max="2" width="5.375" style="9" bestFit="1" customWidth="1"/>
    <col min="3" max="3" width="14.75" style="9" bestFit="1" customWidth="1"/>
    <col min="4" max="4" width="14.125" style="9" bestFit="1" customWidth="1"/>
    <col min="5" max="5" width="22.125" style="9" customWidth="1"/>
    <col min="6" max="16384" width="9" style="9"/>
  </cols>
  <sheetData>
    <row r="1" spans="1:5" ht="34.5" x14ac:dyDescent="0.2">
      <c r="A1" s="502" t="s">
        <v>56</v>
      </c>
      <c r="B1" s="503"/>
      <c r="C1" s="506"/>
      <c r="E1" s="498"/>
    </row>
    <row r="2" spans="1:5" ht="20.25" x14ac:dyDescent="0.2">
      <c r="A2" s="508" t="s">
        <v>187</v>
      </c>
      <c r="B2" s="509"/>
      <c r="C2" s="506"/>
      <c r="E2" s="499"/>
    </row>
    <row r="3" spans="1:5" ht="21" thickBot="1" x14ac:dyDescent="0.25">
      <c r="A3" s="504" t="s">
        <v>188</v>
      </c>
      <c r="B3" s="505"/>
      <c r="C3" s="507"/>
      <c r="E3" s="500"/>
    </row>
    <row r="4" spans="1:5" ht="46.5" customHeight="1" thickBot="1" x14ac:dyDescent="0.25">
      <c r="A4" s="193" t="s">
        <v>0</v>
      </c>
      <c r="B4" s="193" t="s">
        <v>1</v>
      </c>
      <c r="C4" s="378" t="s">
        <v>337</v>
      </c>
      <c r="D4" s="378" t="s">
        <v>336</v>
      </c>
      <c r="E4" s="378" t="s">
        <v>338</v>
      </c>
    </row>
    <row r="5" spans="1:5" ht="21.75" x14ac:dyDescent="0.2">
      <c r="A5" s="10" t="s">
        <v>6</v>
      </c>
      <c r="B5" s="214">
        <f>محاسبات!R26</f>
        <v>3000</v>
      </c>
      <c r="C5" s="11">
        <f>B5*محاسبات!B5</f>
        <v>5391000</v>
      </c>
      <c r="D5" s="11">
        <f>C5*'ورود اطلاعات'!B22%</f>
        <v>467326.76381324994</v>
      </c>
      <c r="E5" s="379">
        <f>D5+C5</f>
        <v>5858326.7638132498</v>
      </c>
    </row>
    <row r="6" spans="1:5" ht="21.75" x14ac:dyDescent="0.2">
      <c r="A6" s="12" t="s">
        <v>7</v>
      </c>
      <c r="B6" s="215">
        <f>IF('ورود اطلاعات'!D19=محاسبات!F1,0,محاسبات!M24)</f>
        <v>0</v>
      </c>
      <c r="C6" s="13">
        <f>B6*محاسبات!B5</f>
        <v>0</v>
      </c>
      <c r="D6" s="11">
        <f>C6*'ورود اطلاعات'!B22%</f>
        <v>0</v>
      </c>
      <c r="E6" s="379">
        <f>D6+C6</f>
        <v>0</v>
      </c>
    </row>
    <row r="7" spans="1:5" ht="21.75" x14ac:dyDescent="0.2">
      <c r="A7" s="12" t="s">
        <v>8</v>
      </c>
      <c r="B7" s="215">
        <f>'حق شاغل و مالیات'!E19</f>
        <v>2077.0833333333335</v>
      </c>
      <c r="C7" s="13">
        <f>B7*محاسبات!B5</f>
        <v>3732518.7500000005</v>
      </c>
      <c r="D7" s="11">
        <f>C7*'ورود اطلاعات'!B22%</f>
        <v>323558.87744570157</v>
      </c>
      <c r="E7" s="379">
        <f>D7+C7</f>
        <v>4056077.627445702</v>
      </c>
    </row>
    <row r="8" spans="1:5" ht="21.75" x14ac:dyDescent="0.2">
      <c r="A8" s="12" t="s">
        <v>9</v>
      </c>
      <c r="B8" s="216">
        <f>SUM(B5:B7)</f>
        <v>5077.0833333333339</v>
      </c>
      <c r="C8" s="13">
        <f>SUM(C5:C7)</f>
        <v>9123518.75</v>
      </c>
      <c r="D8" s="11">
        <f>حکم!D5+حکم!D6+حکم!D7</f>
        <v>790885.64125895151</v>
      </c>
      <c r="E8" s="379">
        <f>E5+E6+E7</f>
        <v>9914404.3912589513</v>
      </c>
    </row>
    <row r="9" spans="1:5" ht="21.75" x14ac:dyDescent="0.2">
      <c r="A9" s="12" t="s">
        <v>10</v>
      </c>
      <c r="B9" s="216"/>
      <c r="C9" s="13">
        <f>'ورود اطلاعات'!B19</f>
        <v>0</v>
      </c>
      <c r="D9" s="11">
        <v>0</v>
      </c>
      <c r="E9" s="379">
        <f t="shared" ref="E9:E24" si="0">D9+C9</f>
        <v>0</v>
      </c>
    </row>
    <row r="10" spans="1:5" ht="21.75" x14ac:dyDescent="0.2">
      <c r="A10" s="12" t="s">
        <v>11</v>
      </c>
      <c r="B10" s="215">
        <f>محاسبات!C22</f>
        <v>700</v>
      </c>
      <c r="C10" s="13">
        <f>B10*محاسبات!B5</f>
        <v>1257900</v>
      </c>
      <c r="D10" s="11">
        <f>C10*'ورود اطلاعات'!B22%</f>
        <v>109042.911556425</v>
      </c>
      <c r="E10" s="379">
        <f t="shared" si="0"/>
        <v>1366942.911556425</v>
      </c>
    </row>
    <row r="11" spans="1:5" ht="21.75" x14ac:dyDescent="0.2">
      <c r="A11" s="12" t="s">
        <v>12</v>
      </c>
      <c r="B11" s="216"/>
      <c r="C11" s="13">
        <f>محاسبات!D92</f>
        <v>0</v>
      </c>
      <c r="D11" s="11">
        <f>C11*'ورود اطلاعات'!B22%</f>
        <v>0</v>
      </c>
      <c r="E11" s="379">
        <f>IF('ورود اطلاعات'!B5=محاسبات!F1,0,C11+D11)</f>
        <v>0</v>
      </c>
    </row>
    <row r="12" spans="1:5" ht="21.75" x14ac:dyDescent="0.2">
      <c r="A12" s="12" t="s">
        <v>13</v>
      </c>
      <c r="B12" s="216"/>
      <c r="C12" s="13">
        <f>'ورود اطلاعات'!D17*(C8+C9)</f>
        <v>0</v>
      </c>
      <c r="D12" s="11">
        <v>0</v>
      </c>
      <c r="E12" s="379">
        <f>SUM(E5:E7,E9)*'ورود اطلاعات'!D17</f>
        <v>0</v>
      </c>
    </row>
    <row r="13" spans="1:5" ht="21.75" x14ac:dyDescent="0.2">
      <c r="A13" s="12" t="s">
        <v>14</v>
      </c>
      <c r="B13" s="216"/>
      <c r="C13" s="13">
        <f>'ورود اطلاعات'!D18*(C8+C9)</f>
        <v>0</v>
      </c>
      <c r="D13" s="11">
        <v>0</v>
      </c>
      <c r="E13" s="379">
        <f>SUM(E5:E7,E9)*'ورود اطلاعات'!D18</f>
        <v>0</v>
      </c>
    </row>
    <row r="14" spans="1:5" ht="21.75" x14ac:dyDescent="0.2">
      <c r="A14" s="12" t="s">
        <v>15</v>
      </c>
      <c r="B14" s="216"/>
      <c r="C14" s="13"/>
      <c r="D14" s="11">
        <v>0</v>
      </c>
      <c r="E14" s="379">
        <f t="shared" si="0"/>
        <v>0</v>
      </c>
    </row>
    <row r="15" spans="1:5" ht="21.75" x14ac:dyDescent="0.2">
      <c r="A15" s="12" t="s">
        <v>16</v>
      </c>
      <c r="B15" s="215">
        <f>محاسبات!F127</f>
        <v>0</v>
      </c>
      <c r="C15" s="13">
        <f>B15*محاسبات!B5</f>
        <v>0</v>
      </c>
      <c r="D15" s="11">
        <f>C15*'ورود اطلاعات'!B22%</f>
        <v>0</v>
      </c>
      <c r="E15" s="379">
        <f t="shared" si="0"/>
        <v>0</v>
      </c>
    </row>
    <row r="16" spans="1:5" ht="21.75" x14ac:dyDescent="0.2">
      <c r="A16" s="12" t="s">
        <v>17</v>
      </c>
      <c r="B16" s="216"/>
      <c r="C16" s="13">
        <f>محاسبات!E5</f>
        <v>0</v>
      </c>
      <c r="D16" s="11">
        <v>0</v>
      </c>
      <c r="E16" s="379">
        <f t="shared" si="0"/>
        <v>0</v>
      </c>
    </row>
    <row r="17" spans="1:5" ht="21.75" x14ac:dyDescent="0.2">
      <c r="A17" s="12" t="s">
        <v>18</v>
      </c>
      <c r="B17" s="215">
        <f>محاسبات!F17</f>
        <v>0</v>
      </c>
      <c r="C17" s="13">
        <f>B17*محاسبات!B5</f>
        <v>0</v>
      </c>
      <c r="D17" s="11">
        <v>0</v>
      </c>
      <c r="E17" s="379">
        <f t="shared" si="0"/>
        <v>0</v>
      </c>
    </row>
    <row r="18" spans="1:5" ht="21.75" x14ac:dyDescent="0.2">
      <c r="A18" s="12" t="s">
        <v>263</v>
      </c>
      <c r="B18" s="215">
        <f>محاسبات!D88</f>
        <v>0</v>
      </c>
      <c r="C18" s="13">
        <f>B18*محاسبات!B12</f>
        <v>0</v>
      </c>
      <c r="D18" s="11">
        <v>0</v>
      </c>
      <c r="E18" s="379">
        <f t="shared" si="0"/>
        <v>0</v>
      </c>
    </row>
    <row r="19" spans="1:5" ht="21.75" x14ac:dyDescent="0.2">
      <c r="A19" s="12" t="s">
        <v>19</v>
      </c>
      <c r="B19" s="215">
        <f>'ورود اطلاعات'!D7</f>
        <v>120</v>
      </c>
      <c r="C19" s="13">
        <f>'ورود اطلاعات'!D7*محاسبات!B5</f>
        <v>215640</v>
      </c>
      <c r="D19" s="11">
        <f>C19*'ورود اطلاعات'!B22%</f>
        <v>18693.07055253</v>
      </c>
      <c r="E19" s="379">
        <f t="shared" si="0"/>
        <v>234333.07055253</v>
      </c>
    </row>
    <row r="20" spans="1:5" ht="21.75" x14ac:dyDescent="0.2">
      <c r="A20" s="12" t="s">
        <v>65</v>
      </c>
      <c r="B20" s="215">
        <f>محاسبات!P11</f>
        <v>0</v>
      </c>
      <c r="C20" s="13">
        <f>B20*محاسبات!B12</f>
        <v>0</v>
      </c>
      <c r="D20" s="11">
        <v>0</v>
      </c>
      <c r="E20" s="379">
        <f t="shared" si="0"/>
        <v>0</v>
      </c>
    </row>
    <row r="21" spans="1:5" ht="21.75" x14ac:dyDescent="0.2">
      <c r="A21" s="12" t="s">
        <v>20</v>
      </c>
      <c r="B21" s="215">
        <f>محاسبات!S13</f>
        <v>0</v>
      </c>
      <c r="C21" s="13">
        <f>B21*محاسبات!B12</f>
        <v>0</v>
      </c>
      <c r="D21" s="11">
        <v>0</v>
      </c>
      <c r="E21" s="379">
        <f t="shared" si="0"/>
        <v>0</v>
      </c>
    </row>
    <row r="22" spans="1:5" ht="21.75" x14ac:dyDescent="0.2">
      <c r="A22" s="12" t="s">
        <v>21</v>
      </c>
      <c r="B22" s="216"/>
      <c r="C22" s="13">
        <f>محاسبات!E24</f>
        <v>0</v>
      </c>
      <c r="D22" s="11">
        <v>0</v>
      </c>
      <c r="E22" s="379">
        <f>E5*'ورود اطلاعات'!D16</f>
        <v>0</v>
      </c>
    </row>
    <row r="23" spans="1:5" ht="21.75" x14ac:dyDescent="0.2">
      <c r="A23" s="12" t="s">
        <v>22</v>
      </c>
      <c r="B23" s="216"/>
      <c r="C23" s="13">
        <f>'ورود اطلاعات'!B20</f>
        <v>0</v>
      </c>
      <c r="D23" s="11">
        <v>0</v>
      </c>
      <c r="E23" s="379">
        <f t="shared" si="0"/>
        <v>0</v>
      </c>
    </row>
    <row r="24" spans="1:5" ht="22.5" thickBot="1" x14ac:dyDescent="0.25">
      <c r="A24" s="14" t="s">
        <v>248</v>
      </c>
      <c r="B24" s="217"/>
      <c r="C24" s="15">
        <f>محاسبات!D69</f>
        <v>904319.62663209438</v>
      </c>
      <c r="D24" s="11">
        <v>0</v>
      </c>
      <c r="E24" s="379">
        <f t="shared" si="0"/>
        <v>904319.62663209438</v>
      </c>
    </row>
    <row r="25" spans="1:5" ht="22.5" thickBot="1" x14ac:dyDescent="0.25">
      <c r="A25" s="16" t="s">
        <v>9</v>
      </c>
      <c r="B25" s="218">
        <f>SUM(B8:B24)</f>
        <v>5897.0833333333339</v>
      </c>
      <c r="C25" s="17">
        <f>SUM(C5:C7,C9:C24)</f>
        <v>11501378.376632094</v>
      </c>
      <c r="D25" s="17">
        <f>SUM(D5:D7,D9:D24)</f>
        <v>918621.62336790655</v>
      </c>
      <c r="E25" s="17">
        <f>SUM(E5:E7,E9:E24)</f>
        <v>12420000</v>
      </c>
    </row>
    <row r="26" spans="1:5" x14ac:dyDescent="0.2">
      <c r="A26" s="501" t="s">
        <v>245</v>
      </c>
      <c r="B26" s="501"/>
      <c r="C26" s="501"/>
      <c r="D26" s="501"/>
      <c r="E26" s="501"/>
    </row>
    <row r="27" spans="1:5" ht="15" thickBot="1" x14ac:dyDescent="0.25"/>
    <row r="28" spans="1:5" ht="21.75" thickBot="1" x14ac:dyDescent="0.25">
      <c r="D28" s="17">
        <f>ROUND(D25,0)</f>
        <v>918622</v>
      </c>
      <c r="E28" s="17">
        <f>ROUND(E25,0)</f>
        <v>12420000</v>
      </c>
    </row>
    <row r="32" spans="1:5" x14ac:dyDescent="0.2">
      <c r="A32" s="227"/>
      <c r="B32" s="227"/>
      <c r="C32" s="227"/>
    </row>
    <row r="33" spans="1:3" x14ac:dyDescent="0.2">
      <c r="A33" s="227"/>
      <c r="B33" s="227"/>
      <c r="C33" s="227"/>
    </row>
    <row r="34" spans="1:3" x14ac:dyDescent="0.2">
      <c r="A34" s="227"/>
      <c r="B34" s="227"/>
      <c r="C34" s="227"/>
    </row>
    <row r="35" spans="1:3" x14ac:dyDescent="0.2">
      <c r="A35" s="227"/>
      <c r="B35" s="227"/>
      <c r="C35" s="227"/>
    </row>
  </sheetData>
  <mergeCells count="6">
    <mergeCell ref="E1:E3"/>
    <mergeCell ref="A26:E26"/>
    <mergeCell ref="A1:B1"/>
    <mergeCell ref="A3:B3"/>
    <mergeCell ref="C1:C3"/>
    <mergeCell ref="A2:B2"/>
  </mergeCells>
  <hyperlinks>
    <hyperlink ref="A26" r:id="rId1"/>
  </hyperlinks>
  <pageMargins left="0.7" right="0.7" top="0.75" bottom="0.75" header="0.3" footer="0.3"/>
  <pageSetup paperSize="11" scale="6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I47"/>
  <sheetViews>
    <sheetView rightToLeft="1" zoomScaleNormal="100" workbookViewId="0">
      <selection activeCell="A11" sqref="A11"/>
    </sheetView>
  </sheetViews>
  <sheetFormatPr defaultRowHeight="14.25" x14ac:dyDescent="0.2"/>
  <cols>
    <col min="1" max="1" width="39.375" customWidth="1"/>
    <col min="2" max="2" width="14.875" bestFit="1" customWidth="1"/>
    <col min="4" max="4" width="21.125" customWidth="1"/>
    <col min="5" max="5" width="22.375" customWidth="1"/>
  </cols>
  <sheetData>
    <row r="1" spans="1:9" ht="75" customHeight="1" thickBot="1" x14ac:dyDescent="0.25">
      <c r="A1" s="520" t="s">
        <v>55</v>
      </c>
      <c r="B1" s="520"/>
      <c r="C1" s="520"/>
      <c r="D1" s="520"/>
      <c r="E1" s="192"/>
      <c r="F1" s="90"/>
      <c r="G1" s="90"/>
      <c r="H1" s="90"/>
      <c r="I1" s="90"/>
    </row>
    <row r="2" spans="1:9" ht="22.5" thickBot="1" x14ac:dyDescent="0.25">
      <c r="A2" s="91" t="s">
        <v>38</v>
      </c>
      <c r="B2" s="91" t="s">
        <v>39</v>
      </c>
      <c r="C2" s="530" t="s">
        <v>40</v>
      </c>
      <c r="D2" s="531"/>
      <c r="E2" s="91" t="s">
        <v>39</v>
      </c>
      <c r="F2" s="90"/>
      <c r="G2" s="90"/>
      <c r="H2" s="90"/>
      <c r="I2" s="90"/>
    </row>
    <row r="3" spans="1:9" ht="21" x14ac:dyDescent="0.55000000000000004">
      <c r="A3" s="92" t="s">
        <v>63</v>
      </c>
      <c r="B3" s="93">
        <f>حکم!E8</f>
        <v>9914404.3912589513</v>
      </c>
      <c r="C3" s="532" t="s">
        <v>44</v>
      </c>
      <c r="D3" s="533"/>
      <c r="E3" s="181">
        <f>IF(محاسبات!F2='ورود اطلاعات'!F12,محاسبات!F40,0)</f>
        <v>869400.00000000012</v>
      </c>
      <c r="F3" s="90"/>
      <c r="G3" s="90"/>
      <c r="H3" s="90"/>
      <c r="I3" s="90"/>
    </row>
    <row r="4" spans="1:9" ht="21" x14ac:dyDescent="0.55000000000000004">
      <c r="A4" s="94" t="s">
        <v>41</v>
      </c>
      <c r="B4" s="95">
        <f>SUM(حکم!E9:E24)</f>
        <v>2505595.6087410497</v>
      </c>
      <c r="C4" s="523" t="s">
        <v>45</v>
      </c>
      <c r="D4" s="524"/>
      <c r="E4" s="182">
        <f>IF(محاسبات!F2='ورود اطلاعات'!F12,محاسبات!E34,0)</f>
        <v>620000</v>
      </c>
      <c r="F4" s="90"/>
      <c r="G4" s="90"/>
      <c r="H4" s="90"/>
      <c r="I4" s="90"/>
    </row>
    <row r="5" spans="1:9" ht="21" x14ac:dyDescent="0.55000000000000004">
      <c r="A5" s="94" t="s">
        <v>252</v>
      </c>
      <c r="B5" s="96">
        <f>'ورود اطلاعات'!B26*'ورود اطلاعات'!F13</f>
        <v>3943229.0192507193</v>
      </c>
      <c r="C5" s="523" t="s">
        <v>46</v>
      </c>
      <c r="D5" s="524"/>
      <c r="E5" s="182">
        <f>محاسبات!B9</f>
        <v>269550</v>
      </c>
      <c r="F5" s="90"/>
      <c r="G5" s="90"/>
      <c r="H5" s="90"/>
      <c r="I5" s="90"/>
    </row>
    <row r="6" spans="1:9" ht="21" x14ac:dyDescent="0.55000000000000004">
      <c r="A6" s="94" t="s">
        <v>30</v>
      </c>
      <c r="B6" s="96">
        <f>'ورود اطلاعات'!F20</f>
        <v>6000000</v>
      </c>
      <c r="C6" s="523" t="s">
        <v>50</v>
      </c>
      <c r="D6" s="524"/>
      <c r="E6" s="182">
        <f>IF(محاسبات!F2='ورود اطلاعات'!F11,'حق شاغل و مالیات'!O10,0)</f>
        <v>0</v>
      </c>
      <c r="F6" s="90"/>
      <c r="G6" s="90"/>
      <c r="H6" s="90"/>
      <c r="I6" s="90"/>
    </row>
    <row r="7" spans="1:9" ht="21" x14ac:dyDescent="0.55000000000000004">
      <c r="A7" s="94" t="s">
        <v>42</v>
      </c>
      <c r="B7" s="95">
        <f>محاسبات!E58</f>
        <v>3090000</v>
      </c>
      <c r="C7" s="523" t="s">
        <v>47</v>
      </c>
      <c r="D7" s="524"/>
      <c r="E7" s="182">
        <f>'ورود اطلاعات'!F23</f>
        <v>0</v>
      </c>
      <c r="F7" s="90"/>
      <c r="G7" s="90"/>
      <c r="H7" s="90"/>
      <c r="I7" s="90"/>
    </row>
    <row r="8" spans="1:9" ht="21" x14ac:dyDescent="0.55000000000000004">
      <c r="A8" s="94" t="s">
        <v>43</v>
      </c>
      <c r="B8" s="95">
        <f>IF('ورود اطلاعات'!F12=محاسبات!F1,0,محاسبات!E35)</f>
        <v>320000</v>
      </c>
      <c r="C8" s="523" t="s">
        <v>48</v>
      </c>
      <c r="D8" s="524"/>
      <c r="E8" s="182">
        <f>'ورود اطلاعات'!F24</f>
        <v>0</v>
      </c>
      <c r="F8" s="90"/>
      <c r="G8" s="90"/>
      <c r="H8" s="90"/>
      <c r="I8" s="90"/>
    </row>
    <row r="9" spans="1:9" ht="21" x14ac:dyDescent="0.2">
      <c r="A9" s="94" t="s">
        <v>227</v>
      </c>
      <c r="B9" s="95">
        <f>IF(محاسبات!F2='ورود اطلاعات'!F16,0,300000)</f>
        <v>0</v>
      </c>
      <c r="C9" s="512"/>
      <c r="D9" s="513"/>
      <c r="E9" s="183"/>
      <c r="F9" s="90"/>
      <c r="G9" s="90"/>
      <c r="H9" s="90"/>
      <c r="I9" s="90"/>
    </row>
    <row r="10" spans="1:9" ht="21" x14ac:dyDescent="0.2">
      <c r="A10" s="94" t="s">
        <v>237</v>
      </c>
      <c r="B10" s="95">
        <f>محاسبات!E65</f>
        <v>0</v>
      </c>
      <c r="C10" s="512"/>
      <c r="D10" s="513"/>
      <c r="E10" s="183"/>
      <c r="F10" s="90"/>
      <c r="G10" s="90"/>
      <c r="H10" s="90"/>
      <c r="I10" s="90"/>
    </row>
    <row r="11" spans="1:9" ht="21" x14ac:dyDescent="0.55000000000000004">
      <c r="A11" s="94" t="s">
        <v>224</v>
      </c>
      <c r="B11" s="95">
        <f>'ورود اطلاعات'!F21</f>
        <v>0</v>
      </c>
      <c r="C11" s="528"/>
      <c r="D11" s="529"/>
      <c r="E11" s="182"/>
      <c r="F11" s="90"/>
      <c r="G11" s="90"/>
      <c r="H11" s="90"/>
      <c r="I11" s="90"/>
    </row>
    <row r="12" spans="1:9" ht="21" x14ac:dyDescent="0.55000000000000004">
      <c r="A12" s="94" t="s">
        <v>239</v>
      </c>
      <c r="B12" s="95">
        <f>'ورود اطلاعات'!F22</f>
        <v>0</v>
      </c>
      <c r="C12" s="528"/>
      <c r="D12" s="529"/>
      <c r="E12" s="182"/>
      <c r="F12" s="90"/>
      <c r="G12" s="90"/>
      <c r="H12" s="90"/>
      <c r="I12" s="90"/>
    </row>
    <row r="13" spans="1:9" ht="21" x14ac:dyDescent="0.55000000000000004">
      <c r="A13" s="94" t="s">
        <v>247</v>
      </c>
      <c r="B13" s="97">
        <f>محاسبات!E48</f>
        <v>0</v>
      </c>
      <c r="C13" s="528"/>
      <c r="D13" s="529"/>
      <c r="E13" s="182"/>
      <c r="F13" s="90"/>
      <c r="G13" s="90"/>
      <c r="H13" s="90"/>
      <c r="I13" s="90"/>
    </row>
    <row r="14" spans="1:9" ht="24.75" thickBot="1" x14ac:dyDescent="0.65">
      <c r="A14" s="200"/>
      <c r="B14" s="98"/>
      <c r="C14" s="510" t="s">
        <v>245</v>
      </c>
      <c r="D14" s="511"/>
      <c r="E14" s="184"/>
      <c r="F14" s="90"/>
      <c r="G14" s="90"/>
      <c r="H14" s="90"/>
      <c r="I14" s="90"/>
    </row>
    <row r="15" spans="1:9" ht="21.75" thickBot="1" x14ac:dyDescent="0.25">
      <c r="A15" s="99" t="s">
        <v>49</v>
      </c>
      <c r="B15" s="100">
        <f>SUM(B3:B14)</f>
        <v>25773229.019250721</v>
      </c>
      <c r="C15" s="521" t="s">
        <v>51</v>
      </c>
      <c r="D15" s="522"/>
      <c r="E15" s="100">
        <f>SUM(E3:E14)</f>
        <v>1758950</v>
      </c>
      <c r="F15" s="90"/>
      <c r="G15" s="90"/>
      <c r="H15" s="90"/>
      <c r="I15" s="90"/>
    </row>
    <row r="16" spans="1:9" ht="21.75" thickBot="1" x14ac:dyDescent="0.25">
      <c r="A16" s="99" t="s">
        <v>246</v>
      </c>
      <c r="B16" s="100">
        <f>ROUND(محاسبات!B25,0)</f>
        <v>24014279</v>
      </c>
      <c r="C16" s="525" t="s">
        <v>189</v>
      </c>
      <c r="D16" s="526"/>
      <c r="E16" s="527"/>
      <c r="F16" s="90"/>
      <c r="G16" s="90"/>
      <c r="H16" s="90"/>
      <c r="I16" s="90"/>
    </row>
    <row r="17" spans="1:9" ht="15" thickBot="1" x14ac:dyDescent="0.25">
      <c r="A17" s="90"/>
      <c r="B17" s="90"/>
      <c r="C17" s="90"/>
      <c r="D17" s="90"/>
      <c r="E17" s="90"/>
      <c r="F17" s="90"/>
      <c r="G17" s="90"/>
      <c r="H17" s="90"/>
      <c r="I17" s="90"/>
    </row>
    <row r="18" spans="1:9" ht="31.5" customHeight="1" x14ac:dyDescent="0.2">
      <c r="A18" s="514" t="s">
        <v>348</v>
      </c>
      <c r="B18" s="515"/>
      <c r="C18" s="515"/>
      <c r="D18" s="515"/>
      <c r="E18" s="516"/>
      <c r="F18" s="90"/>
      <c r="G18" s="90"/>
      <c r="H18" s="90"/>
      <c r="I18" s="90"/>
    </row>
    <row r="19" spans="1:9" ht="30.75" customHeight="1" thickBot="1" x14ac:dyDescent="0.25">
      <c r="A19" s="517"/>
      <c r="B19" s="518"/>
      <c r="C19" s="518"/>
      <c r="D19" s="518"/>
      <c r="E19" s="519"/>
      <c r="F19" s="90"/>
      <c r="G19" s="90"/>
      <c r="H19" s="90"/>
      <c r="I19" s="90"/>
    </row>
    <row r="20" spans="1:9" x14ac:dyDescent="0.2">
      <c r="A20" s="90"/>
      <c r="B20" s="90"/>
      <c r="C20" s="90"/>
      <c r="D20" s="90"/>
      <c r="E20" s="90"/>
      <c r="F20" s="90"/>
      <c r="G20" s="90"/>
      <c r="H20" s="90"/>
      <c r="I20" s="90"/>
    </row>
    <row r="21" spans="1:9" x14ac:dyDescent="0.2">
      <c r="A21" s="90"/>
      <c r="B21" s="90"/>
      <c r="C21" s="90"/>
      <c r="D21" s="90"/>
      <c r="E21" s="90"/>
      <c r="F21" s="90"/>
      <c r="G21" s="90"/>
      <c r="H21" s="90"/>
      <c r="I21" s="90"/>
    </row>
    <row r="22" spans="1:9" x14ac:dyDescent="0.2">
      <c r="A22" s="90"/>
      <c r="B22" s="90"/>
      <c r="C22" s="90"/>
      <c r="D22" s="90"/>
      <c r="E22" s="90"/>
      <c r="F22" s="90"/>
      <c r="G22" s="90"/>
      <c r="H22" s="90"/>
      <c r="I22" s="90"/>
    </row>
    <row r="23" spans="1:9" x14ac:dyDescent="0.2">
      <c r="A23" s="90"/>
      <c r="B23" s="90"/>
      <c r="C23" s="90"/>
      <c r="D23" s="90"/>
      <c r="E23" s="90"/>
      <c r="F23" s="90"/>
      <c r="G23" s="90"/>
      <c r="H23" s="90"/>
      <c r="I23" s="90"/>
    </row>
    <row r="24" spans="1:9" x14ac:dyDescent="0.2">
      <c r="A24" s="90"/>
      <c r="B24" s="90"/>
      <c r="C24" s="90"/>
      <c r="D24" s="90"/>
      <c r="E24" s="90"/>
      <c r="F24" s="90"/>
      <c r="G24" s="90"/>
      <c r="H24" s="90"/>
      <c r="I24" s="90"/>
    </row>
    <row r="25" spans="1:9" x14ac:dyDescent="0.2">
      <c r="A25" s="90"/>
      <c r="B25" s="90"/>
      <c r="C25" s="90"/>
      <c r="D25" s="90"/>
      <c r="E25" s="90"/>
      <c r="F25" s="90"/>
      <c r="G25" s="90"/>
      <c r="H25" s="90"/>
      <c r="I25" s="90"/>
    </row>
    <row r="26" spans="1:9" x14ac:dyDescent="0.2">
      <c r="A26" s="90"/>
      <c r="B26" s="90"/>
      <c r="C26" s="90"/>
      <c r="D26" s="90"/>
      <c r="E26" s="90"/>
      <c r="F26" s="90"/>
      <c r="G26" s="90"/>
      <c r="H26" s="90"/>
      <c r="I26" s="90"/>
    </row>
    <row r="27" spans="1:9" x14ac:dyDescent="0.2">
      <c r="A27" s="90"/>
      <c r="B27" s="90"/>
      <c r="C27" s="90"/>
      <c r="D27" s="90"/>
      <c r="E27" s="90"/>
      <c r="F27" s="90"/>
      <c r="G27" s="90"/>
      <c r="H27" s="90"/>
      <c r="I27" s="90"/>
    </row>
    <row r="28" spans="1:9" x14ac:dyDescent="0.2">
      <c r="A28" s="90"/>
      <c r="B28" s="90"/>
      <c r="C28" s="90"/>
      <c r="D28" s="90"/>
      <c r="E28" s="90"/>
      <c r="F28" s="90"/>
      <c r="G28" s="90"/>
      <c r="H28" s="90"/>
      <c r="I28" s="90"/>
    </row>
    <row r="29" spans="1:9" x14ac:dyDescent="0.2">
      <c r="A29" s="90"/>
      <c r="B29" s="90"/>
      <c r="C29" s="90"/>
      <c r="D29" s="90"/>
      <c r="E29" s="90"/>
      <c r="F29" s="90"/>
      <c r="G29" s="90"/>
      <c r="H29" s="90"/>
      <c r="I29" s="90"/>
    </row>
    <row r="30" spans="1:9" x14ac:dyDescent="0.2">
      <c r="A30" s="90"/>
      <c r="B30" s="90"/>
      <c r="C30" s="90"/>
      <c r="D30" s="90"/>
      <c r="E30" s="90"/>
      <c r="F30" s="90"/>
      <c r="G30" s="90"/>
      <c r="H30" s="90"/>
      <c r="I30" s="90"/>
    </row>
    <row r="31" spans="1:9" x14ac:dyDescent="0.2">
      <c r="A31" s="90"/>
      <c r="B31" s="90"/>
      <c r="C31" s="90"/>
      <c r="D31" s="90"/>
      <c r="E31" s="90"/>
      <c r="F31" s="90"/>
      <c r="G31" s="90"/>
      <c r="H31" s="90"/>
      <c r="I31" s="90"/>
    </row>
    <row r="32" spans="1:9" x14ac:dyDescent="0.2">
      <c r="A32" s="90"/>
      <c r="B32" s="90"/>
      <c r="C32" s="90"/>
      <c r="D32" s="90"/>
      <c r="E32" s="90"/>
      <c r="F32" s="90"/>
      <c r="G32" s="90"/>
      <c r="H32" s="90"/>
      <c r="I32" s="90"/>
    </row>
    <row r="33" spans="1:9" x14ac:dyDescent="0.2">
      <c r="A33" s="90"/>
      <c r="B33" s="90"/>
      <c r="C33" s="90"/>
      <c r="D33" s="90"/>
      <c r="E33" s="90"/>
      <c r="F33" s="90"/>
      <c r="G33" s="90"/>
      <c r="H33" s="90"/>
      <c r="I33" s="90"/>
    </row>
    <row r="34" spans="1:9" x14ac:dyDescent="0.2">
      <c r="A34" s="90"/>
      <c r="B34" s="90"/>
      <c r="C34" s="90"/>
      <c r="D34" s="90"/>
      <c r="E34" s="90"/>
      <c r="F34" s="90"/>
      <c r="G34" s="90"/>
      <c r="H34" s="90"/>
      <c r="I34" s="90"/>
    </row>
    <row r="35" spans="1:9" x14ac:dyDescent="0.2">
      <c r="A35" s="90"/>
      <c r="B35" s="90"/>
      <c r="C35" s="90"/>
      <c r="D35" s="90"/>
      <c r="E35" s="90"/>
      <c r="F35" s="90"/>
      <c r="G35" s="90"/>
      <c r="H35" s="90"/>
      <c r="I35" s="90"/>
    </row>
    <row r="36" spans="1:9" x14ac:dyDescent="0.2">
      <c r="A36" s="90"/>
      <c r="B36" s="90"/>
      <c r="C36" s="90"/>
      <c r="D36" s="90"/>
      <c r="E36" s="90"/>
      <c r="F36" s="90"/>
      <c r="G36" s="90"/>
      <c r="H36" s="90"/>
      <c r="I36" s="90"/>
    </row>
    <row r="37" spans="1:9" x14ac:dyDescent="0.2">
      <c r="A37" s="90"/>
      <c r="B37" s="90"/>
      <c r="C37" s="90"/>
      <c r="D37" s="90"/>
      <c r="E37" s="90"/>
      <c r="F37" s="90"/>
      <c r="G37" s="90"/>
      <c r="H37" s="90"/>
      <c r="I37" s="90"/>
    </row>
    <row r="38" spans="1:9" x14ac:dyDescent="0.2">
      <c r="A38" s="90"/>
      <c r="B38" s="90"/>
      <c r="C38" s="90"/>
      <c r="D38" s="90"/>
      <c r="E38" s="90"/>
      <c r="F38" s="90"/>
      <c r="G38" s="90"/>
      <c r="H38" s="90"/>
      <c r="I38" s="90"/>
    </row>
    <row r="39" spans="1:9" x14ac:dyDescent="0.2">
      <c r="A39" s="90"/>
      <c r="B39" s="90"/>
      <c r="C39" s="90"/>
      <c r="D39" s="90"/>
      <c r="E39" s="90"/>
      <c r="F39" s="90"/>
      <c r="G39" s="90"/>
      <c r="H39" s="90"/>
      <c r="I39" s="90"/>
    </row>
    <row r="40" spans="1:9" x14ac:dyDescent="0.2">
      <c r="A40" s="90"/>
      <c r="B40" s="90"/>
      <c r="C40" s="90"/>
      <c r="D40" s="90"/>
      <c r="E40" s="90"/>
      <c r="F40" s="90"/>
      <c r="G40" s="90"/>
      <c r="H40" s="90"/>
      <c r="I40" s="90"/>
    </row>
    <row r="41" spans="1:9" x14ac:dyDescent="0.2">
      <c r="A41" s="90"/>
      <c r="B41" s="90"/>
      <c r="C41" s="90"/>
      <c r="D41" s="90"/>
      <c r="E41" s="90"/>
      <c r="F41" s="90"/>
      <c r="G41" s="90"/>
      <c r="H41" s="90"/>
      <c r="I41" s="90"/>
    </row>
    <row r="42" spans="1:9" x14ac:dyDescent="0.2">
      <c r="A42" s="90"/>
      <c r="B42" s="90"/>
      <c r="C42" s="90"/>
      <c r="D42" s="90"/>
      <c r="E42" s="90"/>
      <c r="F42" s="90"/>
      <c r="G42" s="90"/>
      <c r="H42" s="90"/>
      <c r="I42" s="90"/>
    </row>
    <row r="43" spans="1:9" x14ac:dyDescent="0.2">
      <c r="A43" s="90"/>
      <c r="B43" s="90"/>
      <c r="C43" s="90"/>
      <c r="D43" s="90"/>
      <c r="E43" s="90"/>
      <c r="F43" s="90"/>
      <c r="G43" s="90"/>
      <c r="H43" s="90"/>
      <c r="I43" s="90"/>
    </row>
    <row r="44" spans="1:9" x14ac:dyDescent="0.2">
      <c r="A44" s="90"/>
      <c r="B44" s="90"/>
      <c r="C44" s="90"/>
      <c r="D44" s="90"/>
      <c r="E44" s="90"/>
      <c r="F44" s="90"/>
      <c r="G44" s="90"/>
      <c r="H44" s="90"/>
      <c r="I44" s="90"/>
    </row>
    <row r="45" spans="1:9" x14ac:dyDescent="0.2">
      <c r="A45" s="90"/>
      <c r="B45" s="90"/>
      <c r="C45" s="90"/>
      <c r="D45" s="90"/>
      <c r="E45" s="90"/>
      <c r="F45" s="90"/>
      <c r="G45" s="90"/>
      <c r="H45" s="90"/>
      <c r="I45" s="90"/>
    </row>
    <row r="46" spans="1:9" x14ac:dyDescent="0.2">
      <c r="A46" s="90"/>
      <c r="B46" s="90"/>
      <c r="C46" s="90"/>
      <c r="D46" s="90"/>
      <c r="E46" s="90"/>
      <c r="F46" s="90"/>
      <c r="G46" s="90"/>
      <c r="H46" s="90"/>
      <c r="I46" s="90"/>
    </row>
    <row r="47" spans="1:9" x14ac:dyDescent="0.2">
      <c r="A47" s="90"/>
      <c r="B47" s="90"/>
      <c r="C47" s="90"/>
      <c r="D47" s="90"/>
      <c r="E47" s="90"/>
      <c r="F47" s="90"/>
      <c r="G47" s="90"/>
      <c r="H47" s="90"/>
      <c r="I47" s="90"/>
    </row>
  </sheetData>
  <sheetProtection algorithmName="SHA-512" hashValue="KlpOnIUo8GDQEHdFXZuecNPfUgIn0u5CF1pMzZzwPioOQCO99hFKULEcXrvpPMfSmw2E5sR7rf//uzvqpOStLg==" saltValue="Hse729DE7IYYJoe/Z+xv2w==" spinCount="100000" sheet="1" objects="1" scenarios="1"/>
  <mergeCells count="17">
    <mergeCell ref="C5:D5"/>
    <mergeCell ref="C14:D14"/>
    <mergeCell ref="C10:D10"/>
    <mergeCell ref="A18:E19"/>
    <mergeCell ref="A1:D1"/>
    <mergeCell ref="C15:D15"/>
    <mergeCell ref="C6:D6"/>
    <mergeCell ref="C16:E16"/>
    <mergeCell ref="C7:D7"/>
    <mergeCell ref="C8:D8"/>
    <mergeCell ref="C9:D9"/>
    <mergeCell ref="C11:D11"/>
    <mergeCell ref="C12:D12"/>
    <mergeCell ref="C13:D13"/>
    <mergeCell ref="C2:D2"/>
    <mergeCell ref="C3:D3"/>
    <mergeCell ref="C4:D4"/>
  </mergeCells>
  <hyperlinks>
    <hyperlink ref="C14" r:id="rId1"/>
    <hyperlink ref="C16" r:id="rId2"/>
  </hyperlinks>
  <printOptions horizontalCentered="1" verticalCentered="1"/>
  <pageMargins left="0.31496062992125984" right="0.31496062992125984" top="0.15748031496062992" bottom="0.15748031496062992" header="0" footer="0"/>
  <pageSetup paperSize="11" scale="84"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AK130"/>
  <sheetViews>
    <sheetView rightToLeft="1" topLeftCell="C1" workbookViewId="0">
      <selection activeCell="C6" sqref="C6"/>
    </sheetView>
  </sheetViews>
  <sheetFormatPr defaultColWidth="9" defaultRowHeight="22.5" x14ac:dyDescent="0.55000000000000004"/>
  <cols>
    <col min="1" max="1" width="25.625" style="1" bestFit="1" customWidth="1"/>
    <col min="2" max="2" width="12.75" style="1" bestFit="1" customWidth="1"/>
    <col min="3" max="3" width="40.625" style="1" bestFit="1" customWidth="1"/>
    <col min="4" max="4" width="23.125" style="1" bestFit="1" customWidth="1"/>
    <col min="5" max="5" width="18.875" style="1" customWidth="1"/>
    <col min="6" max="6" width="20.125" style="1" bestFit="1" customWidth="1"/>
    <col min="7" max="7" width="10.125" style="1" bestFit="1" customWidth="1"/>
    <col min="8" max="8" width="10.375" style="1" bestFit="1" customWidth="1"/>
    <col min="9" max="9" width="15" style="2" bestFit="1" customWidth="1"/>
    <col min="10" max="10" width="23.125" style="3" bestFit="1" customWidth="1"/>
    <col min="11" max="11" width="9" style="1"/>
    <col min="12" max="12" width="10.375" style="1" bestFit="1" customWidth="1"/>
    <col min="13" max="14" width="9" style="1"/>
    <col min="15" max="16" width="8.875" style="1" customWidth="1"/>
    <col min="17" max="19" width="9" style="1"/>
    <col min="20" max="20" width="11.75" style="1" bestFit="1" customWidth="1"/>
    <col min="21" max="21" width="9" style="1"/>
    <col min="22" max="22" width="13.875" style="1" customWidth="1"/>
    <col min="23" max="23" width="9.375" style="1" bestFit="1" customWidth="1"/>
    <col min="24" max="24" width="9" style="1"/>
    <col min="25" max="25" width="14.375" style="1" bestFit="1" customWidth="1"/>
    <col min="26" max="26" width="9.375" style="1" bestFit="1" customWidth="1"/>
    <col min="27" max="28" width="9" style="1"/>
    <col min="29" max="29" width="7" style="1" bestFit="1" customWidth="1"/>
    <col min="30" max="30" width="13.875" style="1" bestFit="1" customWidth="1"/>
    <col min="31" max="31" width="9" style="1"/>
    <col min="32" max="32" width="13.625" style="1" bestFit="1" customWidth="1"/>
    <col min="33" max="33" width="9" style="1"/>
    <col min="34" max="34" width="20.75" style="1" customWidth="1"/>
    <col min="35" max="16384" width="9" style="1"/>
  </cols>
  <sheetData>
    <row r="1" spans="1:37" ht="23.25" thickBot="1" x14ac:dyDescent="0.6">
      <c r="A1" s="18"/>
      <c r="B1" s="148" t="s">
        <v>228</v>
      </c>
      <c r="C1" s="123" t="s">
        <v>209</v>
      </c>
      <c r="D1" s="121" t="s">
        <v>32</v>
      </c>
      <c r="E1" s="18"/>
      <c r="F1" s="19" t="s">
        <v>31</v>
      </c>
      <c r="G1" s="20">
        <v>0</v>
      </c>
      <c r="H1" s="21">
        <v>0</v>
      </c>
      <c r="I1" s="296" t="s">
        <v>2</v>
      </c>
      <c r="J1" s="291"/>
      <c r="K1" s="56" t="s">
        <v>73</v>
      </c>
      <c r="L1" s="22" t="s">
        <v>1</v>
      </c>
      <c r="M1" s="23"/>
      <c r="N1" s="24" t="s">
        <v>102</v>
      </c>
      <c r="O1" s="25" t="s">
        <v>103</v>
      </c>
      <c r="P1" s="26" t="s">
        <v>104</v>
      </c>
      <c r="Q1" s="24" t="s">
        <v>102</v>
      </c>
      <c r="R1" s="25" t="s">
        <v>103</v>
      </c>
      <c r="S1" s="26" t="s">
        <v>104</v>
      </c>
      <c r="AK1" s="18"/>
    </row>
    <row r="2" spans="1:37" ht="23.25" thickBot="1" x14ac:dyDescent="0.6">
      <c r="A2" s="18"/>
      <c r="B2" s="18"/>
      <c r="C2" s="124" t="s">
        <v>210</v>
      </c>
      <c r="D2" s="122" t="s">
        <v>156</v>
      </c>
      <c r="E2" s="18"/>
      <c r="F2" s="30" t="s">
        <v>32</v>
      </c>
      <c r="G2" s="31">
        <v>0.01</v>
      </c>
      <c r="H2" s="32">
        <v>1</v>
      </c>
      <c r="I2" s="297">
        <f>حکم!B5*محاسبات!B4</f>
        <v>5085000</v>
      </c>
      <c r="J2" s="292" t="s">
        <v>6</v>
      </c>
      <c r="K2" s="289">
        <v>1</v>
      </c>
      <c r="L2" s="33">
        <v>2400</v>
      </c>
      <c r="M2" s="23">
        <f>IF('ورود اطلاعات'!B14=محاسبات!K2,L2,0)</f>
        <v>0</v>
      </c>
      <c r="N2" s="34">
        <f>IF(F4='ورود اطلاعات'!B6,0,0)</f>
        <v>0</v>
      </c>
      <c r="O2" s="35">
        <f>IF(F5='ورود اطلاعات'!B7,0,0)</f>
        <v>0</v>
      </c>
      <c r="P2" s="36">
        <f t="shared" ref="P2:P9" si="0">O2*N2</f>
        <v>0</v>
      </c>
      <c r="Q2" s="34">
        <f>IF(F4='ورود اطلاعات'!B6,0,0)</f>
        <v>0</v>
      </c>
      <c r="R2" s="35">
        <f>IF(F5='ورود اطلاعات'!B7,0,0)</f>
        <v>0</v>
      </c>
      <c r="S2" s="287">
        <f t="shared" ref="S2:S9" si="1">R2*Q2</f>
        <v>0</v>
      </c>
      <c r="AK2" s="18"/>
    </row>
    <row r="3" spans="1:37" ht="23.25" thickBot="1" x14ac:dyDescent="0.6">
      <c r="A3" s="582" t="s">
        <v>5</v>
      </c>
      <c r="B3" s="582"/>
      <c r="C3" s="18"/>
      <c r="D3" s="39" t="s">
        <v>194</v>
      </c>
      <c r="E3" s="18"/>
      <c r="F3" s="40" t="s">
        <v>74</v>
      </c>
      <c r="G3" s="31">
        <v>0.02</v>
      </c>
      <c r="H3" s="32">
        <v>2</v>
      </c>
      <c r="I3" s="297">
        <f>حکم!B6*محاسبات!B4</f>
        <v>0</v>
      </c>
      <c r="J3" s="292" t="s">
        <v>7</v>
      </c>
      <c r="K3" s="289">
        <v>2</v>
      </c>
      <c r="L3" s="33">
        <v>2600</v>
      </c>
      <c r="M3" s="23">
        <f>IF(K3='ورود اطلاعات'!B14,L3,0)</f>
        <v>0</v>
      </c>
      <c r="N3" s="37">
        <f>IF(F4='ورود اطلاعات'!B6,0,0)</f>
        <v>0</v>
      </c>
      <c r="O3" s="22">
        <f>IF(F6='ورود اطلاعات'!B7,0,0)</f>
        <v>0</v>
      </c>
      <c r="P3" s="23">
        <f t="shared" si="0"/>
        <v>0</v>
      </c>
      <c r="Q3" s="257">
        <f>IF(F4='ورود اطلاعات'!B6,0,0)</f>
        <v>0</v>
      </c>
      <c r="R3" s="254">
        <f>IF(F6='ورود اطلاعات'!B7,0,0)</f>
        <v>0</v>
      </c>
      <c r="S3" s="71">
        <f t="shared" si="1"/>
        <v>0</v>
      </c>
      <c r="AK3" s="18"/>
    </row>
    <row r="4" spans="1:37" ht="23.25" thickBot="1" x14ac:dyDescent="0.6">
      <c r="A4" s="41" t="s">
        <v>3</v>
      </c>
      <c r="B4" s="33">
        <v>1695</v>
      </c>
      <c r="C4" s="18"/>
      <c r="D4" s="42" t="s">
        <v>157</v>
      </c>
      <c r="E4" s="140">
        <f>B7*25%</f>
        <v>2807500</v>
      </c>
      <c r="F4" s="43" t="s">
        <v>75</v>
      </c>
      <c r="G4" s="31">
        <v>0.03</v>
      </c>
      <c r="H4" s="32">
        <v>3</v>
      </c>
      <c r="I4" s="297">
        <f>حکم!B7*محاسبات!B4</f>
        <v>3520656.2500000005</v>
      </c>
      <c r="J4" s="292" t="s">
        <v>8</v>
      </c>
      <c r="K4" s="289">
        <v>3</v>
      </c>
      <c r="L4" s="33">
        <v>2800</v>
      </c>
      <c r="M4" s="23">
        <f>IF(K4='ورود اطلاعات'!B14,L4,0)</f>
        <v>0</v>
      </c>
      <c r="N4" s="37">
        <f>IF(F4='ورود اطلاعات'!B6,0,0)</f>
        <v>0</v>
      </c>
      <c r="O4" s="22">
        <f>IF(F7='ورود اطلاعات'!B7,0,0)</f>
        <v>0</v>
      </c>
      <c r="P4" s="23">
        <f t="shared" si="0"/>
        <v>0</v>
      </c>
      <c r="Q4" s="257">
        <f>IF(F4='ورود اطلاعات'!B6,1,0)</f>
        <v>1</v>
      </c>
      <c r="R4" s="254">
        <f>IF(F7='ورود اطلاعات'!B7,1,0)</f>
        <v>0</v>
      </c>
      <c r="S4" s="71">
        <f t="shared" si="1"/>
        <v>0</v>
      </c>
      <c r="AK4" s="18"/>
    </row>
    <row r="5" spans="1:37" ht="23.25" thickBot="1" x14ac:dyDescent="0.6">
      <c r="A5" s="41" t="s">
        <v>172</v>
      </c>
      <c r="B5" s="33">
        <f>IF(F1='ورود اطلاعات'!D19,B4,B12)</f>
        <v>1797</v>
      </c>
      <c r="C5" s="18"/>
      <c r="D5" s="44" t="s">
        <v>158</v>
      </c>
      <c r="E5" s="45">
        <f>IF(D1='ورود اطلاعات'!D15,0,E4)</f>
        <v>0</v>
      </c>
      <c r="F5" s="46" t="s">
        <v>77</v>
      </c>
      <c r="G5" s="47">
        <v>0.04</v>
      </c>
      <c r="H5" s="32">
        <v>4</v>
      </c>
      <c r="I5" s="297">
        <f>SUM(I2:J4)</f>
        <v>8605656.25</v>
      </c>
      <c r="J5" s="292" t="s">
        <v>9</v>
      </c>
      <c r="K5" s="289">
        <v>4</v>
      </c>
      <c r="L5" s="33">
        <v>3000</v>
      </c>
      <c r="M5" s="23">
        <f>IF(K5='ورود اطلاعات'!B14,L5,0)</f>
        <v>3000</v>
      </c>
      <c r="N5" s="37">
        <f>IF(F4='ورود اطلاعات'!B6,1,0)</f>
        <v>1</v>
      </c>
      <c r="O5" s="22">
        <f>IF(F8='ورود اطلاعات'!B7,1,0)</f>
        <v>0</v>
      </c>
      <c r="P5" s="23">
        <f t="shared" si="0"/>
        <v>0</v>
      </c>
      <c r="Q5" s="257">
        <f>IF(F4='ورود اطلاعات'!B6,1,0)</f>
        <v>1</v>
      </c>
      <c r="R5" s="254">
        <f>IF(F8='ورود اطلاعات'!B7,1,0)</f>
        <v>0</v>
      </c>
      <c r="S5" s="71">
        <f t="shared" si="1"/>
        <v>0</v>
      </c>
      <c r="AK5" s="18"/>
    </row>
    <row r="6" spans="1:37" x14ac:dyDescent="0.55000000000000004">
      <c r="A6" s="41" t="s">
        <v>4</v>
      </c>
      <c r="B6" s="141">
        <v>10350000</v>
      </c>
      <c r="F6" s="48" t="s">
        <v>78</v>
      </c>
      <c r="G6" s="47">
        <v>0.05</v>
      </c>
      <c r="H6" s="32">
        <v>5</v>
      </c>
      <c r="I6" s="297">
        <f>'ورود اطلاعات'!B19</f>
        <v>0</v>
      </c>
      <c r="J6" s="292" t="s">
        <v>10</v>
      </c>
      <c r="K6" s="289">
        <v>5</v>
      </c>
      <c r="L6" s="33">
        <v>3200</v>
      </c>
      <c r="M6" s="23">
        <f>IF(K6='ورود اطلاعات'!B14,L6,0)</f>
        <v>0</v>
      </c>
      <c r="N6" s="37">
        <f>IF(F3='ورود اطلاعات'!B6,1,0)</f>
        <v>0</v>
      </c>
      <c r="O6" s="22">
        <f>IF(F5='ورود اطلاعات'!B7,1,0)</f>
        <v>0</v>
      </c>
      <c r="P6" s="23">
        <f t="shared" si="0"/>
        <v>0</v>
      </c>
      <c r="Q6" s="257">
        <f>IF(F3='ورود اطلاعات'!B6,1,0)</f>
        <v>0</v>
      </c>
      <c r="R6" s="254">
        <f>IF(F5='ورود اطلاعات'!B7,1,0)</f>
        <v>0</v>
      </c>
      <c r="S6" s="71">
        <f t="shared" si="1"/>
        <v>0</v>
      </c>
      <c r="AK6" s="18"/>
    </row>
    <row r="7" spans="1:37" x14ac:dyDescent="0.55000000000000004">
      <c r="A7" s="41" t="s">
        <v>170</v>
      </c>
      <c r="B7" s="141">
        <v>11230000</v>
      </c>
      <c r="F7" s="48" t="s">
        <v>79</v>
      </c>
      <c r="G7" s="47">
        <v>0.06</v>
      </c>
      <c r="H7" s="32">
        <v>6</v>
      </c>
      <c r="I7" s="297">
        <f>حکم!B10*محاسبات!B4</f>
        <v>1186500</v>
      </c>
      <c r="J7" s="292" t="s">
        <v>11</v>
      </c>
      <c r="K7" s="289">
        <v>6</v>
      </c>
      <c r="L7" s="33">
        <v>3400</v>
      </c>
      <c r="M7" s="23">
        <f>IF(K7='ورود اطلاعات'!B14,L7,0)</f>
        <v>0</v>
      </c>
      <c r="N7" s="37">
        <f>IF(F3='ورود اطلاعات'!B6,0,0)</f>
        <v>0</v>
      </c>
      <c r="O7" s="22">
        <f>IF(F6='ورود اطلاعات'!B7,0,0)</f>
        <v>0</v>
      </c>
      <c r="P7" s="23">
        <f t="shared" si="0"/>
        <v>0</v>
      </c>
      <c r="Q7" s="257">
        <f>IF(F3='ورود اطلاعات'!B6,0,0)</f>
        <v>0</v>
      </c>
      <c r="R7" s="254">
        <f>IF(F6='ورود اطلاعات'!B7,0,0)</f>
        <v>0</v>
      </c>
      <c r="S7" s="71">
        <f t="shared" si="1"/>
        <v>0</v>
      </c>
      <c r="AK7" s="18"/>
    </row>
    <row r="8" spans="1:37" ht="23.25" thickBot="1" x14ac:dyDescent="0.6">
      <c r="A8" s="41" t="s">
        <v>42</v>
      </c>
      <c r="B8" s="141">
        <v>2602000</v>
      </c>
      <c r="F8" s="51" t="s">
        <v>101</v>
      </c>
      <c r="G8" s="47">
        <v>7.0000000000000007E-2</v>
      </c>
      <c r="H8" s="32">
        <v>7</v>
      </c>
      <c r="I8" s="298">
        <f>E92</f>
        <v>0</v>
      </c>
      <c r="J8" s="293" t="s">
        <v>12</v>
      </c>
      <c r="K8" s="289">
        <v>7</v>
      </c>
      <c r="L8" s="33">
        <v>3600</v>
      </c>
      <c r="M8" s="23">
        <f>IF(K8='ورود اطلاعات'!B14,L8,0)</f>
        <v>0</v>
      </c>
      <c r="N8" s="37">
        <f>IF(F3='ورود اطلاعات'!B6,0,0)</f>
        <v>0</v>
      </c>
      <c r="O8" s="22">
        <f>IF(F7='ورود اطلاعات'!B7,0,0)</f>
        <v>0</v>
      </c>
      <c r="P8" s="23">
        <f t="shared" si="0"/>
        <v>0</v>
      </c>
      <c r="Q8" s="257">
        <f>IF(F3='ورود اطلاعات'!B6,1,0)</f>
        <v>0</v>
      </c>
      <c r="R8" s="254">
        <f>IF(F7='ورود اطلاعات'!B7,1,0)</f>
        <v>0</v>
      </c>
      <c r="S8" s="71">
        <f t="shared" si="1"/>
        <v>0</v>
      </c>
      <c r="AK8" s="18"/>
    </row>
    <row r="9" spans="1:37" ht="23.25" thickBot="1" x14ac:dyDescent="0.6">
      <c r="A9" s="115" t="s">
        <v>195</v>
      </c>
      <c r="B9" s="213">
        <f>150*B5</f>
        <v>269550</v>
      </c>
      <c r="C9" s="212" t="s">
        <v>253</v>
      </c>
      <c r="D9" s="103">
        <f>IF(F1='ورود اطلاعات'!D19,1,0)</f>
        <v>0</v>
      </c>
      <c r="E9" s="103">
        <f>IF(F2='ورود اطلاعات'!D19,1,0)</f>
        <v>1</v>
      </c>
      <c r="F9" s="18"/>
      <c r="G9" s="31">
        <v>0.08</v>
      </c>
      <c r="H9" s="32">
        <v>8</v>
      </c>
      <c r="I9" s="298">
        <f>'ورود اطلاعات'!D17*SUM(محاسبات!I5:I6)</f>
        <v>0</v>
      </c>
      <c r="J9" s="293" t="s">
        <v>13</v>
      </c>
      <c r="K9" s="289">
        <v>8</v>
      </c>
      <c r="L9" s="33">
        <v>3800</v>
      </c>
      <c r="M9" s="23">
        <f>IF(K9='ورود اطلاعات'!B14,L9,0)</f>
        <v>0</v>
      </c>
      <c r="N9" s="52">
        <f>IF(F3='ورود اطلاعات'!B6,0,0)</f>
        <v>0</v>
      </c>
      <c r="O9" s="53">
        <f>IF(F8='ورود اطلاعات'!B7,0,0)</f>
        <v>0</v>
      </c>
      <c r="P9" s="54">
        <f t="shared" si="0"/>
        <v>0</v>
      </c>
      <c r="Q9" s="52">
        <f>IF(F3='ورود اطلاعات'!B6,0,0)</f>
        <v>0</v>
      </c>
      <c r="R9" s="53">
        <f>IF(F8='ورود اطلاعات'!B7,0,0)</f>
        <v>0</v>
      </c>
      <c r="S9" s="288">
        <f t="shared" si="1"/>
        <v>0</v>
      </c>
      <c r="AK9" s="18"/>
    </row>
    <row r="10" spans="1:37" ht="23.25" thickBot="1" x14ac:dyDescent="0.6">
      <c r="A10" s="41" t="s">
        <v>52</v>
      </c>
      <c r="B10" s="213">
        <v>445000</v>
      </c>
      <c r="C10" s="212" t="s">
        <v>254</v>
      </c>
      <c r="D10" s="103">
        <f>IF('ورود اطلاعات'!B23&gt;50000000,1,0)</f>
        <v>0</v>
      </c>
      <c r="E10" s="103">
        <f>IF('ورود اطلاعات'!B23&gt;50000000,1,0)</f>
        <v>0</v>
      </c>
      <c r="F10" s="18"/>
      <c r="G10" s="31">
        <v>0.09</v>
      </c>
      <c r="H10" s="32">
        <v>9</v>
      </c>
      <c r="I10" s="298">
        <f>'ورود اطلاعات'!D18*SUM(محاسبات!I5:I6)</f>
        <v>0</v>
      </c>
      <c r="J10" s="293" t="s">
        <v>14</v>
      </c>
      <c r="K10" s="289">
        <v>9</v>
      </c>
      <c r="L10" s="33">
        <v>4000</v>
      </c>
      <c r="M10" s="23">
        <f>IF(K10='ورود اطلاعات'!B14,L10,0)</f>
        <v>0</v>
      </c>
      <c r="N10" s="589" t="s">
        <v>193</v>
      </c>
      <c r="O10" s="590"/>
      <c r="P10" s="57">
        <f>SUM(P2:P9)</f>
        <v>0</v>
      </c>
      <c r="Q10" s="589" t="s">
        <v>84</v>
      </c>
      <c r="R10" s="590"/>
      <c r="S10" s="57">
        <f>SUM(S2:S9)</f>
        <v>0</v>
      </c>
      <c r="AK10" s="18"/>
    </row>
    <row r="11" spans="1:37" ht="23.25" thickBot="1" x14ac:dyDescent="0.6">
      <c r="A11" s="41" t="s">
        <v>53</v>
      </c>
      <c r="B11" s="213">
        <v>2000000</v>
      </c>
      <c r="C11" s="212"/>
      <c r="D11" s="103">
        <f>D9+D10</f>
        <v>0</v>
      </c>
      <c r="E11" s="103">
        <f>E9+E10</f>
        <v>1</v>
      </c>
      <c r="F11" s="18"/>
      <c r="G11" s="31">
        <v>0.1</v>
      </c>
      <c r="H11" s="32">
        <v>10</v>
      </c>
      <c r="I11" s="298"/>
      <c r="J11" s="293" t="s">
        <v>15</v>
      </c>
      <c r="K11" s="289">
        <v>10</v>
      </c>
      <c r="L11" s="33">
        <v>4200</v>
      </c>
      <c r="M11" s="23">
        <f>IF(K11='ورود اطلاعات'!B14,L11,0)</f>
        <v>0</v>
      </c>
      <c r="N11" s="594" t="s">
        <v>184</v>
      </c>
      <c r="O11" s="595"/>
      <c r="P11" s="60">
        <f>P10*810</f>
        <v>0</v>
      </c>
      <c r="Q11" s="570" t="s">
        <v>105</v>
      </c>
      <c r="R11" s="571"/>
      <c r="S11" s="29">
        <f>'ورود اطلاعات'!B8</f>
        <v>0</v>
      </c>
      <c r="AK11" s="18"/>
    </row>
    <row r="12" spans="1:37" x14ac:dyDescent="0.55000000000000004">
      <c r="A12" s="41" t="s">
        <v>171</v>
      </c>
      <c r="B12" s="61">
        <v>1797</v>
      </c>
      <c r="C12" s="103">
        <f>D12+E12</f>
        <v>1797</v>
      </c>
      <c r="D12" s="103">
        <f>IF(D11&gt;0,B4,0)</f>
        <v>0</v>
      </c>
      <c r="E12" s="103">
        <f>IF(E11&gt;0,B12,0)</f>
        <v>1797</v>
      </c>
      <c r="F12" s="18"/>
      <c r="G12" s="31">
        <v>0.11</v>
      </c>
      <c r="H12" s="32">
        <v>11</v>
      </c>
      <c r="I12" s="297">
        <f>محاسبات!F127*B4</f>
        <v>0</v>
      </c>
      <c r="J12" s="292" t="s">
        <v>16</v>
      </c>
      <c r="K12" s="289">
        <v>11</v>
      </c>
      <c r="L12" s="33">
        <v>4400</v>
      </c>
      <c r="M12" s="22">
        <f>IF(K12='ورود اطلاعات'!B14,L12,0)</f>
        <v>0</v>
      </c>
      <c r="N12" s="18"/>
      <c r="O12" s="18"/>
      <c r="P12" s="18"/>
      <c r="Q12" s="591" t="s">
        <v>106</v>
      </c>
      <c r="R12" s="582"/>
      <c r="S12" s="38">
        <v>210</v>
      </c>
      <c r="AK12" s="18"/>
    </row>
    <row r="13" spans="1:37" ht="23.25" thickBot="1" x14ac:dyDescent="0.6">
      <c r="A13" s="62"/>
      <c r="B13" s="50"/>
      <c r="C13" s="335"/>
      <c r="F13" s="18"/>
      <c r="G13" s="31">
        <v>0.12</v>
      </c>
      <c r="H13" s="32">
        <v>12</v>
      </c>
      <c r="I13" s="297">
        <f>IF(D1='ورود اطلاعات'!D15,0,B6*25%)</f>
        <v>0</v>
      </c>
      <c r="J13" s="292" t="s">
        <v>17</v>
      </c>
      <c r="K13" s="289">
        <v>12</v>
      </c>
      <c r="L13" s="33">
        <v>4600</v>
      </c>
      <c r="M13" s="22">
        <f>IF(K13='ورود اطلاعات'!B14,L13,0)</f>
        <v>0</v>
      </c>
      <c r="N13" s="18"/>
      <c r="O13" s="18"/>
      <c r="P13" s="18"/>
      <c r="Q13" s="592" t="s">
        <v>107</v>
      </c>
      <c r="R13" s="593"/>
      <c r="S13" s="247">
        <f>S10*S11*S12</f>
        <v>0</v>
      </c>
      <c r="AK13" s="18"/>
    </row>
    <row r="14" spans="1:37" ht="23.25" thickBot="1" x14ac:dyDescent="0.6">
      <c r="A14" s="104" t="s">
        <v>306</v>
      </c>
      <c r="B14" s="336">
        <f>IF(F2='ورود اطلاعات'!D19,-22%*('ورود اطلاعات'!B23/1000000)+11,0)</f>
        <v>8.6686470749999991</v>
      </c>
      <c r="C14" s="50"/>
      <c r="F14" s="18"/>
      <c r="G14" s="31">
        <v>0.13</v>
      </c>
      <c r="H14" s="32">
        <v>13</v>
      </c>
      <c r="I14" s="298">
        <f>F17*B4</f>
        <v>0</v>
      </c>
      <c r="J14" s="293" t="s">
        <v>18</v>
      </c>
      <c r="K14" s="289">
        <v>13</v>
      </c>
      <c r="L14" s="33">
        <v>4800</v>
      </c>
      <c r="M14" s="22">
        <f>IF(K14='ورود اطلاعات'!B14,L14,0)</f>
        <v>0</v>
      </c>
      <c r="N14" s="18"/>
      <c r="O14" s="18"/>
      <c r="P14" s="18"/>
      <c r="Q14" s="18"/>
      <c r="R14" s="18"/>
      <c r="S14" s="18"/>
      <c r="AK14" s="18"/>
    </row>
    <row r="15" spans="1:37" ht="22.5" customHeight="1" x14ac:dyDescent="0.55000000000000004">
      <c r="A15" s="107"/>
      <c r="B15" s="337">
        <f>-22%*('ورود اطلاعات'!B23/1000000)+11</f>
        <v>8.6686470749999991</v>
      </c>
      <c r="C15" s="50"/>
      <c r="D15" s="27" t="s">
        <v>98</v>
      </c>
      <c r="E15" s="28">
        <v>130</v>
      </c>
      <c r="F15" s="29">
        <f>E15*'ورود اطلاعات'!D12</f>
        <v>0</v>
      </c>
      <c r="G15" s="47">
        <v>0.14000000000000001</v>
      </c>
      <c r="H15" s="32">
        <v>14</v>
      </c>
      <c r="I15" s="294">
        <f>D88*B4</f>
        <v>0</v>
      </c>
      <c r="J15" s="292" t="s">
        <v>263</v>
      </c>
      <c r="K15" s="289">
        <v>14</v>
      </c>
      <c r="L15" s="33">
        <v>5000</v>
      </c>
      <c r="M15" s="22">
        <f>IF(K15='ورود اطلاعات'!B14,L15,0)</f>
        <v>0</v>
      </c>
      <c r="N15" s="18"/>
      <c r="O15" s="18"/>
      <c r="P15" s="18"/>
      <c r="Q15" s="18"/>
      <c r="R15" s="18"/>
      <c r="S15" s="18"/>
      <c r="AK15" s="18"/>
    </row>
    <row r="16" spans="1:37" ht="23.25" thickBot="1" x14ac:dyDescent="0.6">
      <c r="A16" s="107"/>
      <c r="B16" s="337">
        <f>(B14+B15)/2</f>
        <v>8.6686470749999991</v>
      </c>
      <c r="C16" s="50"/>
      <c r="D16" s="37" t="s">
        <v>99</v>
      </c>
      <c r="E16" s="22">
        <f>'ورود اطلاعات'!D13/12</f>
        <v>0</v>
      </c>
      <c r="F16" s="67">
        <f>E16*E15</f>
        <v>0</v>
      </c>
      <c r="G16" s="47">
        <v>0.15</v>
      </c>
      <c r="H16" s="32">
        <v>15</v>
      </c>
      <c r="I16" s="297">
        <f>حکم!B19*محاسبات!B4</f>
        <v>203400</v>
      </c>
      <c r="J16" s="292" t="s">
        <v>19</v>
      </c>
      <c r="K16" s="289">
        <v>15</v>
      </c>
      <c r="L16" s="33">
        <v>5200</v>
      </c>
      <c r="M16" s="22">
        <f>IF(K16='ورود اطلاعات'!B14,L16,0)</f>
        <v>0</v>
      </c>
      <c r="N16" s="18"/>
      <c r="O16" s="18"/>
      <c r="P16" s="18"/>
      <c r="Q16" s="18"/>
      <c r="R16" s="18"/>
      <c r="S16" s="18"/>
      <c r="AD16" s="18"/>
      <c r="AE16" s="18"/>
      <c r="AF16" s="18"/>
      <c r="AG16" s="18"/>
      <c r="AH16" s="18"/>
      <c r="AI16" s="18"/>
      <c r="AJ16" s="18"/>
      <c r="AK16" s="18"/>
    </row>
    <row r="17" spans="1:37" ht="23.25" thickBot="1" x14ac:dyDescent="0.6">
      <c r="A17" s="107" t="s">
        <v>307</v>
      </c>
      <c r="B17" s="65">
        <f>IF(B16&lt;0,0,-22%*('ورود اطلاعات'!B23/1000000)+11)</f>
        <v>8.6686470749999991</v>
      </c>
      <c r="C17" s="50"/>
      <c r="D17" s="598" t="s">
        <v>100</v>
      </c>
      <c r="E17" s="599"/>
      <c r="F17" s="68">
        <f>F15+F16</f>
        <v>0</v>
      </c>
      <c r="G17" s="47">
        <v>0.16</v>
      </c>
      <c r="H17" s="32">
        <v>16</v>
      </c>
      <c r="I17" s="297">
        <f>حکم!B20*محاسبات!B4</f>
        <v>0</v>
      </c>
      <c r="J17" s="292" t="s">
        <v>65</v>
      </c>
      <c r="K17" s="290">
        <v>16</v>
      </c>
      <c r="L17" s="219">
        <v>5400</v>
      </c>
      <c r="M17" s="53">
        <f>IF(K17='ورود اطلاعات'!B14,L17,0)</f>
        <v>0</v>
      </c>
      <c r="N17" s="18"/>
      <c r="O17" s="18"/>
      <c r="P17" s="18"/>
      <c r="Q17" s="18"/>
      <c r="R17" s="18"/>
      <c r="S17" s="18"/>
      <c r="AD17" s="18"/>
      <c r="AE17" s="18"/>
      <c r="AF17" s="18"/>
      <c r="AG17" s="18"/>
      <c r="AH17" s="104">
        <v>0</v>
      </c>
      <c r="AI17" s="105">
        <v>0</v>
      </c>
      <c r="AJ17" s="106">
        <f>IF(AH17='ورود اطلاعات'!D20,AI17,0)</f>
        <v>0</v>
      </c>
      <c r="AK17" s="18"/>
    </row>
    <row r="18" spans="1:37" ht="22.5" customHeight="1" x14ac:dyDescent="0.55000000000000004">
      <c r="A18" s="34" t="s">
        <v>90</v>
      </c>
      <c r="B18" s="35" t="s">
        <v>1</v>
      </c>
      <c r="C18" s="29"/>
      <c r="D18" s="18"/>
      <c r="E18" s="70">
        <v>0</v>
      </c>
      <c r="F18" s="18"/>
      <c r="G18" s="31">
        <v>0.17</v>
      </c>
      <c r="H18" s="32">
        <v>17</v>
      </c>
      <c r="I18" s="297">
        <f>حکم!B21*محاسبات!B4</f>
        <v>0</v>
      </c>
      <c r="J18" s="292" t="s">
        <v>20</v>
      </c>
      <c r="K18" s="256" t="s">
        <v>69</v>
      </c>
      <c r="L18" s="28">
        <v>0</v>
      </c>
      <c r="M18" s="29">
        <f>IF(K18='ورود اطلاعات'!B15,L18,0)</f>
        <v>0</v>
      </c>
      <c r="O18" s="600" t="s">
        <v>256</v>
      </c>
      <c r="P18" s="601"/>
      <c r="Q18" s="601"/>
      <c r="R18" s="602"/>
      <c r="S18" s="18"/>
      <c r="T18" s="18"/>
      <c r="U18" s="18"/>
      <c r="V18" s="18"/>
      <c r="W18" s="18"/>
      <c r="X18" s="18"/>
      <c r="Y18" s="18"/>
      <c r="Z18" s="18"/>
      <c r="AA18" s="18"/>
      <c r="AB18" s="18"/>
      <c r="AC18" s="18"/>
      <c r="AD18" s="18"/>
      <c r="AE18" s="18"/>
      <c r="AF18" s="18"/>
      <c r="AG18" s="18"/>
      <c r="AH18" s="107" t="s">
        <v>192</v>
      </c>
      <c r="AI18" s="103">
        <v>18000</v>
      </c>
      <c r="AJ18" s="108">
        <f>IF(AH18='ورود اطلاعات'!D20,AI18,0)</f>
        <v>0</v>
      </c>
      <c r="AK18" s="18"/>
    </row>
    <row r="19" spans="1:37" x14ac:dyDescent="0.55000000000000004">
      <c r="A19" s="37" t="s">
        <v>91</v>
      </c>
      <c r="B19" s="33">
        <v>700</v>
      </c>
      <c r="C19" s="71">
        <f>IF(A19='ورود اطلاعات'!D6,B19,0)</f>
        <v>700</v>
      </c>
      <c r="D19" s="66"/>
      <c r="E19" s="72">
        <v>0.2</v>
      </c>
      <c r="F19" s="18"/>
      <c r="G19" s="31">
        <v>0.18</v>
      </c>
      <c r="H19" s="32">
        <v>18</v>
      </c>
      <c r="I19" s="297">
        <f>IF(E18='ورود اطلاعات'!D16,0,'ورود اطلاعات'!D16*محاسبات!I2)</f>
        <v>0</v>
      </c>
      <c r="J19" s="292" t="s">
        <v>21</v>
      </c>
      <c r="K19" s="56" t="s">
        <v>70</v>
      </c>
      <c r="L19" s="33">
        <v>250</v>
      </c>
      <c r="M19" s="71">
        <f>IF(K19='ورود اطلاعات'!B15,L19,0)</f>
        <v>0</v>
      </c>
      <c r="O19" s="107">
        <f>O23</f>
        <v>3300</v>
      </c>
      <c r="P19" s="33">
        <f>IF(K19='ورود اطلاعات'!B15,1,0)</f>
        <v>0</v>
      </c>
      <c r="Q19" s="246">
        <v>0.15</v>
      </c>
      <c r="R19" s="71">
        <f>Q19*P19*O19</f>
        <v>0</v>
      </c>
      <c r="S19" s="18"/>
      <c r="T19" s="18"/>
      <c r="U19" s="18"/>
      <c r="V19" s="18"/>
      <c r="W19" s="18"/>
      <c r="X19" s="18"/>
      <c r="Y19" s="18"/>
      <c r="Z19" s="18"/>
      <c r="AA19" s="18"/>
      <c r="AB19" s="18"/>
      <c r="AC19" s="18"/>
      <c r="AD19" s="18"/>
      <c r="AE19" s="18"/>
      <c r="AF19" s="18"/>
      <c r="AG19" s="18"/>
      <c r="AH19" s="102" t="s">
        <v>191</v>
      </c>
      <c r="AI19" s="101">
        <v>18000</v>
      </c>
      <c r="AJ19" s="71">
        <f>IF(AH19='ورود اطلاعات'!D20,AI19,0)</f>
        <v>0</v>
      </c>
      <c r="AK19" s="18"/>
    </row>
    <row r="20" spans="1:37" ht="23.25" thickBot="1" x14ac:dyDescent="0.6">
      <c r="A20" s="37" t="s">
        <v>92</v>
      </c>
      <c r="B20" s="33">
        <v>1500</v>
      </c>
      <c r="C20" s="71">
        <f>IF(A20='ورود اطلاعات'!D6,B20,0)</f>
        <v>0</v>
      </c>
      <c r="D20" s="66"/>
      <c r="E20" s="72">
        <v>0.24</v>
      </c>
      <c r="F20" s="18"/>
      <c r="G20" s="31">
        <v>0.19</v>
      </c>
      <c r="H20" s="32">
        <v>19</v>
      </c>
      <c r="I20" s="299">
        <f>'ورود اطلاعات'!B20</f>
        <v>0</v>
      </c>
      <c r="J20" s="295" t="s">
        <v>22</v>
      </c>
      <c r="K20" s="56" t="s">
        <v>66</v>
      </c>
      <c r="L20" s="33">
        <v>600</v>
      </c>
      <c r="M20" s="71">
        <f>IF(K20='ورود اطلاعات'!B15,L20,0)</f>
        <v>0</v>
      </c>
      <c r="O20" s="107">
        <f>O23</f>
        <v>3300</v>
      </c>
      <c r="P20" s="33">
        <f>IF(K20='ورود اطلاعات'!B15,1,0)</f>
        <v>0</v>
      </c>
      <c r="Q20" s="246">
        <v>0.25</v>
      </c>
      <c r="R20" s="71">
        <f t="shared" ref="R20:R22" si="2">Q20*P20*O20</f>
        <v>0</v>
      </c>
      <c r="S20" s="18"/>
      <c r="T20" s="18"/>
      <c r="U20" s="18"/>
      <c r="V20" s="18"/>
      <c r="W20" s="18"/>
      <c r="X20" s="18"/>
      <c r="Y20" s="18"/>
      <c r="Z20" s="18"/>
      <c r="AA20" s="18"/>
      <c r="AB20" s="18"/>
      <c r="AC20" s="18"/>
      <c r="AG20" s="18"/>
      <c r="AH20" s="109" t="s">
        <v>190</v>
      </c>
      <c r="AI20" s="101">
        <v>18000</v>
      </c>
      <c r="AJ20" s="71">
        <f>IF(AH20='ورود اطلاعات'!D20,AI20,0)</f>
        <v>0</v>
      </c>
      <c r="AK20" s="18"/>
    </row>
    <row r="21" spans="1:37" ht="23.25" thickBot="1" x14ac:dyDescent="0.6">
      <c r="A21" s="37" t="s">
        <v>93</v>
      </c>
      <c r="B21" s="33">
        <v>2000</v>
      </c>
      <c r="C21" s="71">
        <f>IF(A21='ورود اطلاعات'!D6,B21,0)</f>
        <v>0</v>
      </c>
      <c r="D21" s="66"/>
      <c r="E21" s="72">
        <v>0.25</v>
      </c>
      <c r="F21" s="18"/>
      <c r="G21" s="31">
        <v>0.2</v>
      </c>
      <c r="H21" s="32">
        <v>20</v>
      </c>
      <c r="I21" s="300">
        <f>SUM(I5:I20)</f>
        <v>9995556.25</v>
      </c>
      <c r="J21" s="263" t="s">
        <v>9</v>
      </c>
      <c r="K21" s="56" t="s">
        <v>67</v>
      </c>
      <c r="L21" s="33">
        <v>1050</v>
      </c>
      <c r="M21" s="71">
        <f>IF(K21='ورود اطلاعات'!B15,L21,0)</f>
        <v>0</v>
      </c>
      <c r="O21" s="107">
        <f>O23</f>
        <v>3300</v>
      </c>
      <c r="P21" s="33">
        <f>IF(K21='ورود اطلاعات'!B15,1,0)</f>
        <v>0</v>
      </c>
      <c r="Q21" s="246">
        <v>0.35</v>
      </c>
      <c r="R21" s="71">
        <f t="shared" si="2"/>
        <v>0</v>
      </c>
      <c r="S21" s="18"/>
      <c r="T21" s="18"/>
      <c r="U21" s="18"/>
      <c r="V21" s="18"/>
      <c r="W21" s="18"/>
      <c r="X21" s="18"/>
      <c r="Y21" s="18"/>
      <c r="Z21" s="18"/>
      <c r="AA21" s="18"/>
      <c r="AB21" s="18"/>
      <c r="AC21" s="18"/>
      <c r="AG21" s="18"/>
      <c r="AH21" s="102" t="s">
        <v>175</v>
      </c>
      <c r="AI21" s="101">
        <v>17000</v>
      </c>
      <c r="AJ21" s="71">
        <f>IF(AH21='ورود اطلاعات'!D20,AI21,0)</f>
        <v>0</v>
      </c>
      <c r="AK21" s="18"/>
    </row>
    <row r="22" spans="1:37" ht="23.25" thickBot="1" x14ac:dyDescent="0.6">
      <c r="A22" s="596" t="s">
        <v>94</v>
      </c>
      <c r="B22" s="597"/>
      <c r="C22" s="73">
        <f>SUM(C19:C21)</f>
        <v>700</v>
      </c>
      <c r="D22" s="66"/>
      <c r="E22" s="72">
        <v>0.26</v>
      </c>
      <c r="F22" s="18"/>
      <c r="G22" s="31">
        <v>0.21</v>
      </c>
      <c r="H22" s="259">
        <v>21</v>
      </c>
      <c r="I22" s="301"/>
      <c r="J22" s="260"/>
      <c r="K22" s="258" t="s">
        <v>71</v>
      </c>
      <c r="L22" s="220">
        <v>1600</v>
      </c>
      <c r="M22" s="65">
        <f>IF(K22='ورود اطلاعات'!B15,L22,0)</f>
        <v>0</v>
      </c>
      <c r="O22" s="107">
        <f>O23</f>
        <v>3300</v>
      </c>
      <c r="P22" s="33">
        <f>IF(K22='ورود اطلاعات'!B15,1,0)</f>
        <v>0</v>
      </c>
      <c r="Q22" s="246">
        <v>0.5</v>
      </c>
      <c r="R22" s="71">
        <f t="shared" si="2"/>
        <v>0</v>
      </c>
      <c r="S22" s="18"/>
      <c r="T22" s="18"/>
      <c r="U22" s="18"/>
      <c r="V22" s="18"/>
      <c r="W22" s="18"/>
      <c r="X22" s="18"/>
      <c r="Y22" s="18"/>
      <c r="Z22" s="18"/>
      <c r="AA22" s="18"/>
      <c r="AB22" s="18"/>
      <c r="AC22" s="18"/>
      <c r="AG22" s="18"/>
      <c r="AH22" s="102" t="s">
        <v>176</v>
      </c>
      <c r="AI22" s="101">
        <v>17000</v>
      </c>
      <c r="AJ22" s="71">
        <f>IF(AH22='ورود اطلاعات'!D20,AI22,0)</f>
        <v>0</v>
      </c>
      <c r="AK22" s="18"/>
    </row>
    <row r="23" spans="1:37" ht="23.25" thickBot="1" x14ac:dyDescent="0.6">
      <c r="A23" s="50"/>
      <c r="B23" s="66"/>
      <c r="C23" s="50"/>
      <c r="D23" s="66"/>
      <c r="E23" s="74">
        <v>0.28000000000000003</v>
      </c>
      <c r="F23" s="18"/>
      <c r="G23" s="31">
        <v>0.22</v>
      </c>
      <c r="H23" s="259">
        <v>22</v>
      </c>
      <c r="I23" s="261"/>
      <c r="J23" s="262"/>
      <c r="K23" s="568" t="s">
        <v>267</v>
      </c>
      <c r="L23" s="569"/>
      <c r="M23" s="248">
        <f>SUM(M2:M22,Q24)</f>
        <v>3000</v>
      </c>
      <c r="N23" s="1">
        <f>M23*10%</f>
        <v>300</v>
      </c>
      <c r="O23" s="211">
        <f>N23+M23</f>
        <v>3300</v>
      </c>
      <c r="P23" s="566" t="s">
        <v>266</v>
      </c>
      <c r="Q23" s="567"/>
      <c r="R23" s="247">
        <f>SUM(R19:R22,O23)</f>
        <v>3300</v>
      </c>
      <c r="S23" s="18"/>
      <c r="T23" s="18"/>
      <c r="U23" s="18"/>
      <c r="V23" s="18"/>
      <c r="W23" s="18"/>
      <c r="X23" s="18"/>
      <c r="Y23" s="18"/>
      <c r="Z23" s="18"/>
      <c r="AA23" s="18"/>
      <c r="AB23" s="18"/>
      <c r="AC23" s="18"/>
      <c r="AG23" s="18"/>
      <c r="AH23" s="102" t="s">
        <v>177</v>
      </c>
      <c r="AI23" s="101">
        <v>17000</v>
      </c>
      <c r="AJ23" s="71">
        <f>IF(AH23='ورود اطلاعات'!D20,AI23,0)</f>
        <v>0</v>
      </c>
      <c r="AK23" s="18"/>
    </row>
    <row r="24" spans="1:37" ht="23.25" thickBot="1" x14ac:dyDescent="0.6">
      <c r="A24" s="50"/>
      <c r="B24" s="66"/>
      <c r="C24" s="50"/>
      <c r="D24" s="75" t="s">
        <v>21</v>
      </c>
      <c r="E24" s="76">
        <f>IF(E18='ورود اطلاعات'!D16,0,'ورود اطلاعات'!D16*حکم!C5)</f>
        <v>0</v>
      </c>
      <c r="F24" s="18"/>
      <c r="G24" s="31">
        <v>0.23</v>
      </c>
      <c r="H24" s="32">
        <v>23</v>
      </c>
      <c r="I24" s="77"/>
      <c r="J24" s="78"/>
      <c r="K24" s="587" t="s">
        <v>7</v>
      </c>
      <c r="L24" s="588"/>
      <c r="M24" s="249">
        <f>IF('ورود اطلاعات'!D5&gt;5000,5000,'ورود اطلاعات'!D5)</f>
        <v>0</v>
      </c>
      <c r="O24" s="143"/>
      <c r="P24" s="62"/>
      <c r="Q24" s="221"/>
      <c r="R24" s="18"/>
      <c r="S24" s="18"/>
      <c r="T24" s="18"/>
      <c r="U24" s="18"/>
      <c r="V24" s="18"/>
      <c r="W24" s="18"/>
      <c r="X24" s="18"/>
      <c r="Y24" s="18"/>
      <c r="Z24" s="18"/>
      <c r="AA24" s="18"/>
      <c r="AB24" s="18"/>
      <c r="AC24" s="18"/>
      <c r="AG24" s="18"/>
      <c r="AH24" s="102" t="s">
        <v>178</v>
      </c>
      <c r="AI24" s="101">
        <v>16000</v>
      </c>
      <c r="AJ24" s="71">
        <f>IF(AH24='ورود اطلاعات'!D20,AI24,0)</f>
        <v>0</v>
      </c>
      <c r="AK24" s="18"/>
    </row>
    <row r="25" spans="1:37" ht="23.25" thickBot="1" x14ac:dyDescent="0.6">
      <c r="A25" s="180" t="s">
        <v>241</v>
      </c>
      <c r="B25" s="191">
        <f>'فیش حقوقی'!B15-'فیش حقوقی'!E15</f>
        <v>24014279.019250721</v>
      </c>
      <c r="C25" s="50"/>
      <c r="D25" s="66"/>
      <c r="E25" s="50"/>
      <c r="F25" s="18"/>
      <c r="G25" s="31">
        <v>0.24</v>
      </c>
      <c r="H25" s="32">
        <v>24</v>
      </c>
      <c r="I25" s="79"/>
      <c r="J25" s="78"/>
      <c r="K25" s="585" t="s">
        <v>185</v>
      </c>
      <c r="L25" s="586"/>
      <c r="M25" s="80">
        <f>IF(F2='ورود اطلاعات'!D19,R25,R26)</f>
        <v>3000</v>
      </c>
      <c r="N25" s="18"/>
      <c r="O25" s="570" t="s">
        <v>268</v>
      </c>
      <c r="P25" s="571"/>
      <c r="Q25" s="571"/>
      <c r="R25" s="29">
        <f>IF(F1='ورود اطلاعات'!B5,R23,M23)</f>
        <v>3000</v>
      </c>
      <c r="S25" s="18"/>
      <c r="T25" s="18"/>
      <c r="U25" s="18"/>
      <c r="V25" s="18"/>
      <c r="W25" s="18"/>
      <c r="X25" s="18"/>
      <c r="Y25" s="18"/>
      <c r="Z25" s="18"/>
      <c r="AA25" s="18"/>
      <c r="AB25" s="18"/>
      <c r="AC25" s="18"/>
      <c r="AG25" s="18"/>
      <c r="AH25" s="102" t="s">
        <v>179</v>
      </c>
      <c r="AI25" s="101">
        <v>16000</v>
      </c>
      <c r="AJ25" s="71">
        <f>IF(AH25='ورود اطلاعات'!D20,AI25,0)</f>
        <v>0</v>
      </c>
      <c r="AK25" s="18"/>
    </row>
    <row r="26" spans="1:37" ht="23.25" thickBot="1" x14ac:dyDescent="0.6">
      <c r="A26" s="189" t="s">
        <v>186</v>
      </c>
      <c r="B26" s="190">
        <f>IF('ورود اطلاعات'!B23&lt;50000000,'ورود اطلاعات'!B23*'ورود اطلاعات'!B22%,0)</f>
        <v>918621.62336790655</v>
      </c>
      <c r="C26" s="50"/>
      <c r="D26" s="208" t="s">
        <v>57</v>
      </c>
      <c r="E26" s="209">
        <f>'ورود اطلاعات'!F8</f>
        <v>620000</v>
      </c>
      <c r="F26" s="18"/>
      <c r="G26" s="81">
        <v>0.25</v>
      </c>
      <c r="H26" s="32">
        <v>25</v>
      </c>
      <c r="I26" s="82"/>
      <c r="J26" s="78"/>
      <c r="K26" s="18"/>
      <c r="L26" s="18"/>
      <c r="M26" s="18"/>
      <c r="N26" s="18"/>
      <c r="O26" s="572" t="s">
        <v>269</v>
      </c>
      <c r="P26" s="573"/>
      <c r="Q26" s="573"/>
      <c r="R26" s="65">
        <f>IF(F1='ورود اطلاعات'!D19,AJ29,R25)</f>
        <v>3000</v>
      </c>
      <c r="S26" s="18"/>
      <c r="T26" s="18"/>
      <c r="U26" s="18"/>
      <c r="V26" s="18"/>
      <c r="W26" s="18"/>
      <c r="X26" s="18"/>
      <c r="Y26" s="18"/>
      <c r="Z26" s="18"/>
      <c r="AA26" s="18"/>
      <c r="AB26" s="18"/>
      <c r="AC26" s="18"/>
      <c r="AG26" s="18"/>
      <c r="AH26" s="102" t="s">
        <v>180</v>
      </c>
      <c r="AI26" s="101">
        <v>15000</v>
      </c>
      <c r="AJ26" s="71">
        <f>IF(AH26='ورود اطلاعات'!D20,AI26,0)</f>
        <v>0</v>
      </c>
      <c r="AK26" s="18"/>
    </row>
    <row r="27" spans="1:37" x14ac:dyDescent="0.55000000000000004">
      <c r="A27" s="50"/>
      <c r="B27" s="66"/>
      <c r="C27" s="50"/>
      <c r="D27" s="49" t="s">
        <v>58</v>
      </c>
      <c r="E27" s="55">
        <f>'ورود اطلاعات'!F9</f>
        <v>320000</v>
      </c>
      <c r="F27" s="18"/>
      <c r="G27" s="18"/>
      <c r="H27" s="32">
        <v>26</v>
      </c>
      <c r="I27" s="82"/>
      <c r="K27" s="18"/>
      <c r="L27" s="18"/>
      <c r="M27" s="18"/>
      <c r="N27" s="18"/>
      <c r="O27" s="18"/>
      <c r="P27" s="18"/>
      <c r="Q27" s="18"/>
      <c r="R27" s="18"/>
      <c r="S27" s="18"/>
      <c r="T27" s="18"/>
      <c r="U27" s="18"/>
      <c r="V27" s="18"/>
      <c r="W27" s="18"/>
      <c r="X27" s="18"/>
      <c r="Y27" s="18"/>
      <c r="Z27" s="18"/>
      <c r="AA27" s="18"/>
      <c r="AB27" s="18"/>
      <c r="AC27" s="18"/>
      <c r="AG27" s="18"/>
      <c r="AH27" s="102" t="s">
        <v>181</v>
      </c>
      <c r="AI27" s="101">
        <v>15000</v>
      </c>
      <c r="AJ27" s="71">
        <f>IF(AH27='ورود اطلاعات'!D20,AI27,0)</f>
        <v>0</v>
      </c>
      <c r="AK27" s="18"/>
    </row>
    <row r="28" spans="1:37" ht="23.25" thickBot="1" x14ac:dyDescent="0.6">
      <c r="D28" s="49"/>
      <c r="E28" s="55">
        <v>1</v>
      </c>
      <c r="G28" s="18"/>
      <c r="H28" s="32">
        <v>27</v>
      </c>
      <c r="I28" s="85"/>
      <c r="K28" s="18"/>
      <c r="L28" s="18"/>
      <c r="M28" s="18"/>
      <c r="N28" s="18"/>
      <c r="O28" s="18"/>
      <c r="P28" s="18"/>
      <c r="Q28" s="18"/>
      <c r="R28" s="18"/>
      <c r="S28" s="18"/>
      <c r="T28" s="18"/>
      <c r="U28" s="18"/>
      <c r="V28" s="18"/>
      <c r="W28" s="18"/>
      <c r="X28" s="18"/>
      <c r="Y28" s="18"/>
      <c r="Z28" s="18"/>
      <c r="AA28" s="18"/>
      <c r="AB28" s="18"/>
      <c r="AC28" s="18"/>
      <c r="AG28" s="18"/>
      <c r="AH28" s="83" t="s">
        <v>182</v>
      </c>
      <c r="AI28" s="64">
        <v>14000</v>
      </c>
      <c r="AJ28" s="65">
        <f>IF(AH28='ورود اطلاعات'!D20,AI28,0)</f>
        <v>0</v>
      </c>
      <c r="AK28" s="18"/>
    </row>
    <row r="29" spans="1:37" ht="23.25" thickBot="1" x14ac:dyDescent="0.6">
      <c r="D29" s="49"/>
      <c r="E29" s="55">
        <v>4</v>
      </c>
      <c r="G29" s="18"/>
      <c r="H29" s="32">
        <v>28</v>
      </c>
      <c r="I29" s="85"/>
      <c r="K29" s="18"/>
      <c r="L29" s="18"/>
      <c r="M29" s="18"/>
      <c r="N29" s="18"/>
      <c r="O29" s="18"/>
      <c r="P29" s="18"/>
      <c r="Q29" s="18"/>
      <c r="R29" s="18"/>
      <c r="S29" s="18"/>
      <c r="T29" s="18"/>
      <c r="U29" s="18"/>
      <c r="V29" s="18"/>
      <c r="W29" s="18"/>
      <c r="X29" s="18"/>
      <c r="Y29" s="18"/>
      <c r="Z29" s="18"/>
      <c r="AA29" s="18"/>
      <c r="AB29" s="18"/>
      <c r="AC29" s="18"/>
      <c r="AG29" s="18"/>
      <c r="AH29" s="583" t="s">
        <v>183</v>
      </c>
      <c r="AI29" s="584"/>
      <c r="AJ29" s="84">
        <f>SUM(AJ17:AJ28)</f>
        <v>0</v>
      </c>
      <c r="AK29" s="18"/>
    </row>
    <row r="30" spans="1:37" x14ac:dyDescent="0.55000000000000004">
      <c r="A30" s="250" t="s">
        <v>255</v>
      </c>
      <c r="D30" s="49" t="s">
        <v>59</v>
      </c>
      <c r="E30" s="55">
        <f>E28+'ورود اطلاعات'!F7</f>
        <v>1</v>
      </c>
      <c r="G30" s="18"/>
      <c r="H30" s="32">
        <v>29</v>
      </c>
      <c r="I30" s="85"/>
      <c r="J30" s="78"/>
      <c r="K30" s="18"/>
      <c r="L30" s="18"/>
      <c r="M30" s="18"/>
      <c r="N30" s="18"/>
      <c r="O30" s="18"/>
      <c r="P30" s="18"/>
      <c r="Q30" s="18"/>
      <c r="R30" s="18"/>
      <c r="S30" s="18"/>
      <c r="T30" s="18"/>
      <c r="U30" s="18"/>
      <c r="V30" s="18"/>
      <c r="W30" s="18"/>
      <c r="X30" s="18"/>
      <c r="Y30" s="18"/>
      <c r="Z30" s="18"/>
      <c r="AA30" s="18"/>
      <c r="AB30" s="18"/>
      <c r="AC30" s="18"/>
      <c r="AG30" s="18"/>
      <c r="AH30" s="18"/>
      <c r="AI30" s="18"/>
      <c r="AJ30" s="18"/>
      <c r="AK30" s="18"/>
    </row>
    <row r="31" spans="1:37" x14ac:dyDescent="0.55000000000000004">
      <c r="A31" s="251" t="s">
        <v>270</v>
      </c>
      <c r="D31" s="49" t="s">
        <v>60</v>
      </c>
      <c r="E31" s="59">
        <f>1+'ورود اطلاعات'!F7</f>
        <v>1</v>
      </c>
      <c r="G31" s="18"/>
      <c r="H31" s="32">
        <v>30</v>
      </c>
      <c r="I31" s="85"/>
      <c r="J31" s="7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1:37" ht="23.25" thickBot="1" x14ac:dyDescent="0.6">
      <c r="A32" s="252" t="s">
        <v>271</v>
      </c>
      <c r="D32" s="49" t="s">
        <v>61</v>
      </c>
      <c r="E32" s="55">
        <v>0</v>
      </c>
      <c r="G32" s="18"/>
      <c r="H32" s="32">
        <v>31</v>
      </c>
      <c r="I32" s="85"/>
      <c r="J32" s="7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7" x14ac:dyDescent="0.55000000000000004">
      <c r="A33" s="185"/>
      <c r="B33" s="97"/>
      <c r="D33" s="49" t="s">
        <v>62</v>
      </c>
      <c r="E33" s="59">
        <f>IF('ورود اطلاعات'!F7+1&gt;'ورود اطلاعات'!F10,'ورود اطلاعات'!F10,'ورود اطلاعات'!F7+1)</f>
        <v>1</v>
      </c>
      <c r="G33" s="18"/>
      <c r="H33" s="32">
        <v>32</v>
      </c>
      <c r="I33" s="77"/>
      <c r="J33" s="7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7" x14ac:dyDescent="0.55000000000000004">
      <c r="D34" s="207" t="s">
        <v>250</v>
      </c>
      <c r="E34" s="210">
        <f>IF(F1='ورود اطلاعات'!F6,(1+'ورود اطلاعات'!F7)*'ورود اطلاعات'!F8,0)</f>
        <v>620000</v>
      </c>
      <c r="G34" s="18"/>
      <c r="H34" s="32">
        <v>33</v>
      </c>
      <c r="I34" s="77"/>
      <c r="J34" s="87" t="s">
        <v>80</v>
      </c>
      <c r="K34" s="88">
        <f>IF(F3='ورود اطلاعات'!B6,1,0)</f>
        <v>0</v>
      </c>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row>
    <row r="35" spans="1:37" ht="23.25" thickBot="1" x14ac:dyDescent="0.6">
      <c r="D35" s="211" t="s">
        <v>251</v>
      </c>
      <c r="E35" s="206">
        <f>IF(F1='ورود اطلاعات'!F6,E33*E27,0)</f>
        <v>320000</v>
      </c>
      <c r="G35" s="18"/>
      <c r="H35" s="32">
        <v>34</v>
      </c>
      <c r="I35" s="77"/>
      <c r="J35" s="87" t="s">
        <v>81</v>
      </c>
      <c r="K35" s="33">
        <f>IF(F5='ورود اطلاعات'!B7,K34*K36,0)</f>
        <v>0</v>
      </c>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row>
    <row r="36" spans="1:37" ht="23.25" thickBot="1" x14ac:dyDescent="0.6">
      <c r="G36" s="18"/>
      <c r="H36" s="89">
        <v>35</v>
      </c>
      <c r="I36" s="77"/>
      <c r="J36" s="87" t="s">
        <v>82</v>
      </c>
      <c r="K36" s="33">
        <v>810</v>
      </c>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row>
    <row r="37" spans="1:37" ht="23.25" thickBot="1" x14ac:dyDescent="0.6">
      <c r="G37" s="18"/>
      <c r="H37" s="32">
        <v>36</v>
      </c>
      <c r="I37" s="77"/>
      <c r="J37" s="87" t="s">
        <v>84</v>
      </c>
      <c r="K37" s="22">
        <v>210</v>
      </c>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row>
    <row r="38" spans="1:37" x14ac:dyDescent="0.55000000000000004">
      <c r="C38" s="174" t="s">
        <v>209</v>
      </c>
      <c r="D38" s="125">
        <v>7.0000000000000007E-2</v>
      </c>
      <c r="E38" s="126">
        <f>SUM(حکم!E5:E7,حکم!E9:E11,حکم!E15,حکم!E19,حکم!E24)</f>
        <v>12420000</v>
      </c>
      <c r="F38" s="127">
        <f>IF(C38='ورود اطلاعات'!F5,E38*D38,0)</f>
        <v>869400.00000000012</v>
      </c>
      <c r="G38" s="18"/>
      <c r="H38" s="32">
        <v>37</v>
      </c>
      <c r="I38" s="77"/>
      <c r="J38" s="87" t="s">
        <v>85</v>
      </c>
      <c r="K38" s="22">
        <f>K41*K37</f>
        <v>0</v>
      </c>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row>
    <row r="39" spans="1:37" ht="23.25" thickBot="1" x14ac:dyDescent="0.6">
      <c r="C39" s="175" t="s">
        <v>210</v>
      </c>
      <c r="D39" s="128">
        <v>0.09</v>
      </c>
      <c r="E39" s="129">
        <f>E38</f>
        <v>12420000</v>
      </c>
      <c r="F39" s="130">
        <f>IF(C39='ورود اطلاعات'!F5,E39*D39,0)</f>
        <v>0</v>
      </c>
      <c r="G39" s="18"/>
      <c r="H39" s="89">
        <v>38</v>
      </c>
      <c r="I39" s="77"/>
      <c r="J39" s="87" t="s">
        <v>86</v>
      </c>
      <c r="K39" s="22">
        <f>IF(K34+K42&gt;0,1,0)</f>
        <v>0</v>
      </c>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row>
    <row r="40" spans="1:37" ht="23.25" thickBot="1" x14ac:dyDescent="0.6">
      <c r="C40" s="176"/>
      <c r="D40" s="131"/>
      <c r="E40" s="132" t="s">
        <v>211</v>
      </c>
      <c r="F40" s="133">
        <f>F38+F39</f>
        <v>869400.00000000012</v>
      </c>
      <c r="G40" s="18"/>
      <c r="H40" s="32">
        <v>39</v>
      </c>
      <c r="I40" s="77"/>
      <c r="J40" s="87" t="s">
        <v>88</v>
      </c>
      <c r="K40" s="22">
        <f>'ورود اطلاعات'!B8</f>
        <v>0</v>
      </c>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row>
    <row r="41" spans="1:37" ht="23.25" thickBot="1" x14ac:dyDescent="0.6">
      <c r="G41" s="18"/>
      <c r="H41" s="32">
        <v>40</v>
      </c>
      <c r="I41" s="77"/>
      <c r="J41" s="87" t="s">
        <v>87</v>
      </c>
      <c r="K41" s="22">
        <f>K40*K39</f>
        <v>0</v>
      </c>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row>
    <row r="42" spans="1:37" ht="23.25" thickBot="1" x14ac:dyDescent="0.6">
      <c r="C42" s="177" t="s">
        <v>216</v>
      </c>
      <c r="D42" s="144">
        <f>SUM(حکم!E5:E7,حکم!E10,حکم!E11,حکم!E15,حکم!E19)</f>
        <v>11515680.373367906</v>
      </c>
      <c r="F42" s="142"/>
      <c r="G42" s="18"/>
      <c r="H42" s="89">
        <v>41</v>
      </c>
      <c r="I42" s="77"/>
      <c r="J42" s="87" t="s">
        <v>89</v>
      </c>
      <c r="K42" s="22">
        <f>IF(F7='ورود اطلاعات'!B7,1,0)</f>
        <v>0</v>
      </c>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row>
    <row r="43" spans="1:37" ht="23.25" thickBot="1" x14ac:dyDescent="0.6">
      <c r="C43" s="178" t="s">
        <v>170</v>
      </c>
      <c r="D43" s="145">
        <f>B7</f>
        <v>11230000</v>
      </c>
      <c r="F43" s="143"/>
      <c r="G43" s="18"/>
      <c r="H43" s="32">
        <v>42</v>
      </c>
      <c r="I43" s="77"/>
      <c r="J43" s="7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row>
    <row r="44" spans="1:37" x14ac:dyDescent="0.55000000000000004">
      <c r="C44" s="177" t="s">
        <v>217</v>
      </c>
      <c r="D44" s="144">
        <f>D43/20</f>
        <v>561500</v>
      </c>
      <c r="E44" s="18"/>
      <c r="F44" s="143"/>
      <c r="G44" s="18"/>
      <c r="H44" s="32">
        <v>43</v>
      </c>
      <c r="I44" s="77"/>
      <c r="J44" s="7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row>
    <row r="45" spans="1:37" ht="23.25" thickBot="1" x14ac:dyDescent="0.6">
      <c r="C45" s="179" t="s">
        <v>218</v>
      </c>
      <c r="D45" s="145">
        <f>(D42-D43)/50</f>
        <v>5713.6074673581124</v>
      </c>
      <c r="E45" s="18"/>
      <c r="F45" s="18"/>
      <c r="G45" s="18"/>
      <c r="H45" s="89">
        <v>44</v>
      </c>
      <c r="I45" s="77"/>
      <c r="J45" s="7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row>
    <row r="46" spans="1:37" ht="23.25" thickBot="1" x14ac:dyDescent="0.6">
      <c r="C46" s="177" t="s">
        <v>221</v>
      </c>
      <c r="D46" s="144">
        <f>D44+D45</f>
        <v>567213.60746735812</v>
      </c>
      <c r="E46" s="144">
        <f>IF(C46='ورود اطلاعات'!F15,'ورود اطلاعات'!F14*D46,0)</f>
        <v>0</v>
      </c>
      <c r="F46" s="18"/>
      <c r="G46" s="18"/>
      <c r="H46" s="32">
        <v>45</v>
      </c>
      <c r="I46" s="77"/>
      <c r="J46" s="7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row>
    <row r="47" spans="1:37" ht="23.25" thickBot="1" x14ac:dyDescent="0.6">
      <c r="C47" s="178" t="s">
        <v>222</v>
      </c>
      <c r="D47" s="145">
        <f>D46/2</f>
        <v>283606.80373367906</v>
      </c>
      <c r="E47" s="146">
        <f>IF(C47='ورود اطلاعات'!F15,'ورود اطلاعات'!F14*D47,0)</f>
        <v>0</v>
      </c>
      <c r="F47" s="18"/>
      <c r="G47" s="18"/>
      <c r="H47" s="32">
        <v>46</v>
      </c>
      <c r="I47" s="77"/>
      <c r="J47" s="7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row>
    <row r="48" spans="1:37" ht="23.25" thickBot="1" x14ac:dyDescent="0.6">
      <c r="C48" s="574" t="s">
        <v>223</v>
      </c>
      <c r="D48" s="575"/>
      <c r="E48" s="147">
        <f>E46+E47</f>
        <v>0</v>
      </c>
      <c r="F48" s="18"/>
      <c r="G48" s="18"/>
      <c r="H48" s="89">
        <v>47</v>
      </c>
      <c r="I48" s="77"/>
      <c r="J48" s="7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row>
    <row r="49" spans="1:37" x14ac:dyDescent="0.55000000000000004">
      <c r="C49" s="150" t="s">
        <v>222</v>
      </c>
      <c r="D49" s="151">
        <v>61000</v>
      </c>
      <c r="E49" s="152"/>
      <c r="F49" s="18"/>
      <c r="G49" s="18"/>
      <c r="H49" s="32">
        <v>48</v>
      </c>
      <c r="I49" s="77"/>
      <c r="J49" s="7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row>
    <row r="50" spans="1:37" x14ac:dyDescent="0.55000000000000004">
      <c r="A50" s="117"/>
      <c r="B50" s="116"/>
      <c r="C50" s="153" t="s">
        <v>317</v>
      </c>
      <c r="D50" s="154">
        <f>22*D49</f>
        <v>1342000</v>
      </c>
      <c r="E50" s="155">
        <f>IF(C50='ورود اطلاعات'!F18,D50,0)</f>
        <v>0</v>
      </c>
      <c r="F50" s="18"/>
      <c r="G50" s="18"/>
      <c r="H50" s="32">
        <v>49</v>
      </c>
      <c r="I50" s="77"/>
      <c r="J50" s="7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row>
    <row r="51" spans="1:37" ht="23.25" thickBot="1" x14ac:dyDescent="0.6">
      <c r="A51" s="117"/>
      <c r="B51" s="116"/>
      <c r="C51" s="156" t="s">
        <v>318</v>
      </c>
      <c r="D51" s="157">
        <f>26*D49</f>
        <v>1586000</v>
      </c>
      <c r="E51" s="158">
        <f>IF(C51='ورود اطلاعات'!F18,D51,0)</f>
        <v>0</v>
      </c>
      <c r="F51" s="18"/>
      <c r="G51" s="18"/>
      <c r="H51" s="89">
        <v>50</v>
      </c>
      <c r="I51" s="77"/>
      <c r="J51" s="7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row>
    <row r="52" spans="1:37" ht="23.25" thickBot="1" x14ac:dyDescent="0.6">
      <c r="A52" s="117"/>
      <c r="B52" s="116"/>
      <c r="C52" s="156" t="s">
        <v>319</v>
      </c>
      <c r="D52" s="157">
        <f>30*D49</f>
        <v>1830000</v>
      </c>
      <c r="E52" s="158">
        <f>IF(C52='ورود اطلاعات'!F18,D52,0)</f>
        <v>0</v>
      </c>
      <c r="F52" s="18"/>
      <c r="G52" s="18"/>
      <c r="H52" s="18"/>
      <c r="I52" s="77"/>
      <c r="J52" s="7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row>
    <row r="53" spans="1:37" ht="23.25" thickBot="1" x14ac:dyDescent="0.6">
      <c r="A53" s="62"/>
      <c r="B53" s="62"/>
      <c r="C53" s="576" t="s">
        <v>233</v>
      </c>
      <c r="D53" s="577"/>
      <c r="E53" s="149">
        <f>D49*'ورود اطلاعات'!F18</f>
        <v>1830000</v>
      </c>
      <c r="F53" s="18"/>
      <c r="G53" s="18"/>
      <c r="H53" s="18"/>
      <c r="I53" s="77"/>
      <c r="J53" s="7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row>
    <row r="54" spans="1:37" x14ac:dyDescent="0.55000000000000004">
      <c r="A54" s="62"/>
      <c r="B54" s="62"/>
      <c r="C54" s="159" t="s">
        <v>230</v>
      </c>
      <c r="D54" s="160">
        <v>0</v>
      </c>
      <c r="E54" s="161">
        <f>IF(C54='ورود اطلاعات'!F17,D54,0)</f>
        <v>0</v>
      </c>
      <c r="F54" s="18"/>
      <c r="G54" s="18"/>
      <c r="H54" s="18"/>
      <c r="I54" s="77"/>
      <c r="J54" s="7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row>
    <row r="55" spans="1:37" x14ac:dyDescent="0.55000000000000004">
      <c r="A55" s="18"/>
      <c r="B55" s="18"/>
      <c r="C55" s="162" t="s">
        <v>231</v>
      </c>
      <c r="D55" s="163">
        <v>840000</v>
      </c>
      <c r="E55" s="164">
        <f>IF(C55='ورود اطلاعات'!F17,D55,0)</f>
        <v>0</v>
      </c>
      <c r="F55" s="18"/>
      <c r="G55" s="18"/>
      <c r="H55" s="18"/>
      <c r="I55" s="77"/>
      <c r="J55" s="7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row>
    <row r="56" spans="1:37" x14ac:dyDescent="0.55000000000000004">
      <c r="A56" s="18"/>
      <c r="B56" s="18"/>
      <c r="C56" s="162" t="s">
        <v>232</v>
      </c>
      <c r="D56" s="163">
        <v>1260000</v>
      </c>
      <c r="E56" s="164">
        <f>IF(C56='ورود اطلاعات'!F17,D56,0)</f>
        <v>1260000</v>
      </c>
      <c r="F56" s="18"/>
      <c r="G56" s="18"/>
      <c r="H56" s="18"/>
      <c r="I56" s="77"/>
      <c r="J56" s="7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row>
    <row r="57" spans="1:37" ht="23.25" thickBot="1" x14ac:dyDescent="0.6">
      <c r="A57" s="18"/>
      <c r="B57" s="18"/>
      <c r="C57" s="558" t="s">
        <v>229</v>
      </c>
      <c r="D57" s="559"/>
      <c r="E57" s="165">
        <f>SUM(E54:E56)</f>
        <v>1260000</v>
      </c>
      <c r="I57" s="77"/>
      <c r="J57" s="7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row>
    <row r="58" spans="1:37" ht="23.25" thickBot="1" x14ac:dyDescent="0.6">
      <c r="A58" s="18"/>
      <c r="B58" s="18"/>
      <c r="C58" s="560" t="s">
        <v>234</v>
      </c>
      <c r="D58" s="561"/>
      <c r="E58" s="166">
        <f>IF(F2='ورود اطلاعات'!B5,E53+E57,0)</f>
        <v>3090000</v>
      </c>
      <c r="I58" s="77"/>
      <c r="J58" s="7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row>
    <row r="59" spans="1:37" x14ac:dyDescent="0.55000000000000004">
      <c r="A59" s="18"/>
      <c r="B59" s="18"/>
      <c r="C59" s="374" t="s">
        <v>75</v>
      </c>
      <c r="D59" s="375" t="s">
        <v>308</v>
      </c>
      <c r="E59" s="376" t="s">
        <v>104</v>
      </c>
      <c r="I59" s="77"/>
      <c r="J59" s="7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row>
    <row r="60" spans="1:37" x14ac:dyDescent="0.55000000000000004">
      <c r="A60" s="18"/>
      <c r="B60" s="18"/>
      <c r="C60" s="170">
        <f>IF(F4='ورود اطلاعات'!B6,1,0)</f>
        <v>1</v>
      </c>
      <c r="D60" s="168">
        <f>IF(F5='ورود اطلاعات'!B7,1,0)</f>
        <v>0</v>
      </c>
      <c r="E60" s="171">
        <f>D60*C60</f>
        <v>0</v>
      </c>
      <c r="I60" s="77"/>
      <c r="J60" s="7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row>
    <row r="61" spans="1:37" x14ac:dyDescent="0.55000000000000004">
      <c r="C61" s="172">
        <f>IF(F4='ورود اطلاعات'!B6,1,0)</f>
        <v>1</v>
      </c>
      <c r="D61" s="169">
        <f>IF(F8='ورود اطلاعات'!B7,1,0)</f>
        <v>0</v>
      </c>
      <c r="E61" s="173">
        <f>D61*C61</f>
        <v>0</v>
      </c>
    </row>
    <row r="62" spans="1:37" x14ac:dyDescent="0.55000000000000004">
      <c r="C62" s="172">
        <f>IF(F4='ورود اطلاعات'!B6,1,0)</f>
        <v>1</v>
      </c>
      <c r="D62" s="169">
        <f>IF(F7='ورود اطلاعات'!B7,1,0)</f>
        <v>0</v>
      </c>
      <c r="E62" s="173">
        <f>D62*C62</f>
        <v>0</v>
      </c>
    </row>
    <row r="63" spans="1:37" x14ac:dyDescent="0.55000000000000004">
      <c r="C63" s="578" t="s">
        <v>238</v>
      </c>
      <c r="D63" s="579"/>
      <c r="E63" s="173">
        <f>E60+E61+E62</f>
        <v>0</v>
      </c>
    </row>
    <row r="64" spans="1:37" ht="23.25" thickBot="1" x14ac:dyDescent="0.6">
      <c r="C64" s="580" t="s">
        <v>236</v>
      </c>
      <c r="D64" s="581"/>
      <c r="E64" s="377">
        <f>IF('ورود اطلاعات'!F19&gt;'ورود اطلاعات'!B8,'ورود اطلاعات'!B8,'ورود اطلاعات'!F19)</f>
        <v>0</v>
      </c>
    </row>
    <row r="65" spans="3:8" ht="23.25" thickBot="1" x14ac:dyDescent="0.6">
      <c r="C65" s="564" t="s">
        <v>237</v>
      </c>
      <c r="D65" s="565"/>
      <c r="E65" s="167">
        <f>E64*E63*1000000</f>
        <v>0</v>
      </c>
    </row>
    <row r="66" spans="3:8" ht="23.25" thickBot="1" x14ac:dyDescent="0.6">
      <c r="C66" s="138" t="s">
        <v>54</v>
      </c>
      <c r="D66" s="139">
        <f>'فیش حقوقی'!B12+'فیش حقوقی'!B5+حکم!E8+حکم!E9+حکم!E10+حکم!E11+حکم!E12+حکم!E13+حکم!E14+حکم!E15+حکم!E16+حکم!E17+حکم!E18+حکم!E19+حکم!E22+حکم!E23+حکم!E24</f>
        <v>16363229.019250719</v>
      </c>
      <c r="E66" s="134"/>
      <c r="F66" s="18"/>
    </row>
    <row r="68" spans="3:8" ht="23.25" thickBot="1" x14ac:dyDescent="0.6"/>
    <row r="69" spans="3:8" x14ac:dyDescent="0.55000000000000004">
      <c r="C69" s="372" t="s">
        <v>320</v>
      </c>
      <c r="D69" s="373">
        <f>IF(SUM(حکم!E5:E7,حکم!E10,حکم!E11,حکم!E15,حکم!E19)&lt;12420000,12420000-SUM(حکم!E5:E7,حکم!E10,حکم!E11,حکم!E15,حکم!E19),0)</f>
        <v>904319.62663209438</v>
      </c>
    </row>
    <row r="70" spans="3:8" x14ac:dyDescent="0.55000000000000004">
      <c r="C70" s="103"/>
      <c r="D70" s="103" t="s">
        <v>328</v>
      </c>
      <c r="E70" s="103" t="s">
        <v>329</v>
      </c>
      <c r="F70" s="103" t="s">
        <v>330</v>
      </c>
      <c r="G70" s="103" t="s">
        <v>9</v>
      </c>
      <c r="H70" s="103" t="s">
        <v>331</v>
      </c>
    </row>
    <row r="71" spans="3:8" x14ac:dyDescent="0.55000000000000004">
      <c r="C71" s="103" t="s">
        <v>327</v>
      </c>
      <c r="D71" s="103">
        <v>51.9</v>
      </c>
      <c r="E71" s="103">
        <f>'ورود اطلاعات'!B16*محاسبات!D71</f>
        <v>0</v>
      </c>
      <c r="F71" s="103">
        <f>D71*'ورود اطلاعات'!B17*2</f>
        <v>0</v>
      </c>
      <c r="G71" s="103">
        <f>F71+E71</f>
        <v>0</v>
      </c>
      <c r="H71" s="103">
        <f>IF(G71&gt;1038,1038,G71)</f>
        <v>0</v>
      </c>
    </row>
    <row r="72" spans="3:8" ht="23.25" thickBot="1" x14ac:dyDescent="0.6">
      <c r="C72" s="103" t="s">
        <v>264</v>
      </c>
      <c r="D72" s="103">
        <v>52.5</v>
      </c>
      <c r="E72" s="103">
        <f>D72*'ورود اطلاعات'!B16</f>
        <v>0</v>
      </c>
      <c r="F72" s="103">
        <f>D72*'ورود اطلاعات'!B17*2</f>
        <v>0</v>
      </c>
      <c r="G72" s="103">
        <f>F72+E72</f>
        <v>0</v>
      </c>
      <c r="H72" s="103">
        <f>IF(G72&gt;1050,1050,G72)</f>
        <v>0</v>
      </c>
    </row>
    <row r="73" spans="3:8" ht="23.25" thickBot="1" x14ac:dyDescent="0.6">
      <c r="C73" s="202" t="s">
        <v>341</v>
      </c>
      <c r="D73" s="203">
        <f>D74+D75+23000000</f>
        <v>28295208.291214492</v>
      </c>
    </row>
    <row r="74" spans="3:8" ht="23.25" thickBot="1" x14ac:dyDescent="0.6">
      <c r="C74" s="202" t="s">
        <v>340</v>
      </c>
      <c r="D74" s="203">
        <f>'فیش حقوقی'!E4</f>
        <v>620000</v>
      </c>
    </row>
    <row r="75" spans="3:8" ht="23.25" thickBot="1" x14ac:dyDescent="0.6">
      <c r="C75" s="202" t="s">
        <v>339</v>
      </c>
      <c r="D75" s="203">
        <f>('حق شاغل و مالیات'!M10*2)/7</f>
        <v>4675208.2912144912</v>
      </c>
    </row>
    <row r="76" spans="3:8" x14ac:dyDescent="0.55000000000000004">
      <c r="C76" s="202" t="s">
        <v>200</v>
      </c>
      <c r="D76" s="203">
        <f>IF('حق شاغل و مالیات'!M10&lt;محاسبات!D73,'حق شاغل و مالیات'!M10,D73)</f>
        <v>16363229.019250719</v>
      </c>
      <c r="E76" s="105"/>
      <c r="F76" s="106"/>
    </row>
    <row r="77" spans="3:8" x14ac:dyDescent="0.55000000000000004">
      <c r="C77" s="187" t="s">
        <v>201</v>
      </c>
      <c r="D77" s="201">
        <f>IF('حق شاغل و مالیات'!M10&lt;محاسبات!D73,0,'حق شاغل و مالیات'!M10-محاسبات!D73)</f>
        <v>0</v>
      </c>
      <c r="E77" s="103">
        <f>IF(D77&gt;69000000,69000000,D77)</f>
        <v>0</v>
      </c>
      <c r="F77" s="108">
        <f>IF(E77&gt;0,E77,0)</f>
        <v>0</v>
      </c>
    </row>
    <row r="78" spans="3:8" x14ac:dyDescent="0.55000000000000004">
      <c r="C78" s="186" t="s">
        <v>202</v>
      </c>
      <c r="D78" s="201">
        <f>D77-E77</f>
        <v>0</v>
      </c>
      <c r="E78" s="103">
        <f>IF(D78&gt;23000000,23000000,D78)</f>
        <v>0</v>
      </c>
      <c r="F78" s="108">
        <f>IF(E78&gt;0,E78,0)</f>
        <v>0</v>
      </c>
    </row>
    <row r="79" spans="3:8" x14ac:dyDescent="0.55000000000000004">
      <c r="C79" s="187" t="s">
        <v>203</v>
      </c>
      <c r="D79" s="201">
        <f>D78-E78</f>
        <v>0</v>
      </c>
      <c r="E79" s="103">
        <f>IF(D79&gt;46000000,46000000,D79)</f>
        <v>0</v>
      </c>
      <c r="F79" s="108">
        <f>IF(E79&gt;0,E79,0)</f>
        <v>0</v>
      </c>
    </row>
    <row r="80" spans="3:8" ht="23.25" thickBot="1" x14ac:dyDescent="0.6">
      <c r="C80" s="188" t="s">
        <v>204</v>
      </c>
      <c r="D80" s="204">
        <f>D79-E79</f>
        <v>0</v>
      </c>
      <c r="E80" s="205"/>
      <c r="F80" s="206">
        <f>IF(D80&gt;0,D80,0)</f>
        <v>0</v>
      </c>
    </row>
    <row r="81" spans="3:5" ht="23.25" thickBot="1" x14ac:dyDescent="0.6"/>
    <row r="82" spans="3:5" x14ac:dyDescent="0.55000000000000004">
      <c r="C82" s="224" t="s">
        <v>32</v>
      </c>
      <c r="D82" s="225">
        <v>0</v>
      </c>
      <c r="E82" s="106">
        <f>IF(C82='ورود اطلاعات'!D14,D82,0)</f>
        <v>0</v>
      </c>
    </row>
    <row r="83" spans="3:5" x14ac:dyDescent="0.55000000000000004">
      <c r="C83" s="222" t="s">
        <v>71</v>
      </c>
      <c r="D83" s="223">
        <v>800</v>
      </c>
      <c r="E83" s="108">
        <f>IF(C83='ورود اطلاعات'!D14,D83,0)</f>
        <v>0</v>
      </c>
    </row>
    <row r="84" spans="3:5" x14ac:dyDescent="0.55000000000000004">
      <c r="C84" s="222" t="s">
        <v>258</v>
      </c>
      <c r="D84" s="223">
        <v>650</v>
      </c>
      <c r="E84" s="108">
        <f>IF(C84='ورود اطلاعات'!D14,D84,0)</f>
        <v>0</v>
      </c>
    </row>
    <row r="85" spans="3:5" x14ac:dyDescent="0.55000000000000004">
      <c r="C85" s="222" t="s">
        <v>259</v>
      </c>
      <c r="D85" s="223">
        <v>500</v>
      </c>
      <c r="E85" s="108">
        <f>IF(C85='ورود اطلاعات'!D14,D85,0)</f>
        <v>0</v>
      </c>
    </row>
    <row r="86" spans="3:5" x14ac:dyDescent="0.55000000000000004">
      <c r="C86" s="222" t="s">
        <v>260</v>
      </c>
      <c r="D86" s="223">
        <v>400</v>
      </c>
      <c r="E86" s="108">
        <f>IF(C86='ورود اطلاعات'!D14,D86,0)</f>
        <v>0</v>
      </c>
    </row>
    <row r="87" spans="3:5" x14ac:dyDescent="0.55000000000000004">
      <c r="C87" s="222" t="s">
        <v>261</v>
      </c>
      <c r="D87" s="223">
        <v>800</v>
      </c>
      <c r="E87" s="108">
        <f>IF(C87='ورود اطلاعات'!D14,D87,0)</f>
        <v>0</v>
      </c>
    </row>
    <row r="88" spans="3:5" ht="23.25" thickBot="1" x14ac:dyDescent="0.6">
      <c r="C88" s="226" t="s">
        <v>262</v>
      </c>
      <c r="D88" s="562">
        <f>SUM(E82:E87)</f>
        <v>0</v>
      </c>
      <c r="E88" s="563"/>
    </row>
    <row r="89" spans="3:5" ht="23.25" thickBot="1" x14ac:dyDescent="0.6"/>
    <row r="90" spans="3:5" x14ac:dyDescent="0.55000000000000004">
      <c r="C90" s="104" t="s">
        <v>12</v>
      </c>
      <c r="D90" s="229">
        <f>SUM(حکم!C8,حکم!C10,حکم!C15,حکم!C19)*'ورود اطلاعات'!D8%</f>
        <v>0</v>
      </c>
      <c r="E90" s="1">
        <f>SUM(I2:I4,I7,I12,I16)*'ورود اطلاعات'!D8%</f>
        <v>0</v>
      </c>
    </row>
    <row r="91" spans="3:5" x14ac:dyDescent="0.55000000000000004">
      <c r="C91" s="107" t="s">
        <v>264</v>
      </c>
      <c r="D91" s="230">
        <v>0</v>
      </c>
      <c r="E91" s="1">
        <v>0</v>
      </c>
    </row>
    <row r="92" spans="3:5" ht="23.25" thickBot="1" x14ac:dyDescent="0.6">
      <c r="C92" s="228" t="s">
        <v>265</v>
      </c>
      <c r="D92" s="133">
        <f>IF(F2='ورود اطلاعات'!B5,D90,D91)</f>
        <v>0</v>
      </c>
      <c r="E92" s="1">
        <f>IF(F1='ورود اطلاعات'!B5,E91,E90)</f>
        <v>0</v>
      </c>
    </row>
    <row r="97" spans="2:8" x14ac:dyDescent="0.55000000000000004">
      <c r="B97" s="1" t="s">
        <v>298</v>
      </c>
      <c r="C97" s="1" t="s">
        <v>300</v>
      </c>
    </row>
    <row r="98" spans="2:8" x14ac:dyDescent="0.55000000000000004">
      <c r="C98" s="1" t="s">
        <v>301</v>
      </c>
    </row>
    <row r="99" spans="2:8" x14ac:dyDescent="0.55000000000000004">
      <c r="C99" s="1" t="s">
        <v>299</v>
      </c>
    </row>
    <row r="100" spans="2:8" x14ac:dyDescent="0.55000000000000004">
      <c r="C100" s="1" t="s">
        <v>302</v>
      </c>
    </row>
    <row r="101" spans="2:8" x14ac:dyDescent="0.55000000000000004">
      <c r="C101" s="1" t="s">
        <v>316</v>
      </c>
    </row>
    <row r="104" spans="2:8" ht="23.25" thickBot="1" x14ac:dyDescent="0.6"/>
    <row r="105" spans="2:8" x14ac:dyDescent="0.55000000000000004">
      <c r="C105" s="549" t="s">
        <v>272</v>
      </c>
      <c r="D105" s="550"/>
      <c r="E105" s="550"/>
      <c r="F105" s="551"/>
    </row>
    <row r="106" spans="2:8" ht="23.25" customHeight="1" x14ac:dyDescent="0.55000000000000004">
      <c r="C106" s="552" t="s">
        <v>273</v>
      </c>
      <c r="D106" s="553"/>
      <c r="E106" s="553"/>
      <c r="F106" s="554"/>
    </row>
    <row r="107" spans="2:8" ht="23.25" customHeight="1" thickBot="1" x14ac:dyDescent="0.6">
      <c r="C107" s="555" t="s">
        <v>274</v>
      </c>
      <c r="D107" s="556"/>
      <c r="E107" s="556"/>
      <c r="F107" s="557"/>
    </row>
    <row r="108" spans="2:8" ht="23.25" thickBot="1" x14ac:dyDescent="0.6"/>
    <row r="109" spans="2:8" ht="27.75" thickBot="1" x14ac:dyDescent="0.6">
      <c r="B109" s="534" t="s">
        <v>322</v>
      </c>
      <c r="C109" s="535"/>
      <c r="D109" s="535"/>
      <c r="E109" s="535"/>
      <c r="F109" s="535"/>
      <c r="G109" s="535"/>
      <c r="H109" s="536"/>
    </row>
    <row r="110" spans="2:8" ht="23.25" thickBot="1" x14ac:dyDescent="0.6">
      <c r="B110" s="353" t="s">
        <v>323</v>
      </c>
      <c r="C110" s="354" t="s">
        <v>1</v>
      </c>
      <c r="D110" s="354" t="s">
        <v>130</v>
      </c>
      <c r="E110" s="354" t="s">
        <v>1</v>
      </c>
      <c r="F110" s="354" t="s">
        <v>324</v>
      </c>
      <c r="G110" s="354" t="s">
        <v>1</v>
      </c>
      <c r="H110" s="355" t="s">
        <v>325</v>
      </c>
    </row>
    <row r="111" spans="2:8" x14ac:dyDescent="0.55000000000000004">
      <c r="B111" s="351">
        <v>0</v>
      </c>
      <c r="C111" s="287">
        <f>IF(B111='ورود اطلاعات'!D9,0,0)</f>
        <v>0</v>
      </c>
      <c r="D111" s="351">
        <v>0</v>
      </c>
      <c r="E111" s="287">
        <f>IF(D111='ورود اطلاعات'!D10,0,0)</f>
        <v>0</v>
      </c>
      <c r="F111" s="352">
        <v>0</v>
      </c>
      <c r="G111" s="287">
        <f>IF(F111='ورود اطلاعات'!D11,0,0)</f>
        <v>0</v>
      </c>
      <c r="H111" s="359">
        <v>0</v>
      </c>
    </row>
    <row r="112" spans="2:8" x14ac:dyDescent="0.55000000000000004">
      <c r="B112" s="338" t="s">
        <v>132</v>
      </c>
      <c r="C112" s="71">
        <f>IF(B112='ورود اطلاعات'!D9,H112,0)</f>
        <v>0</v>
      </c>
      <c r="D112" s="338" t="s">
        <v>310</v>
      </c>
      <c r="E112" s="71">
        <f>IF(D112='ورود اطلاعات'!D10,H112,0)</f>
        <v>0</v>
      </c>
      <c r="F112" s="338" t="s">
        <v>133</v>
      </c>
      <c r="G112" s="71">
        <f>IF(F112='ورود اطلاعات'!D11,H112,0)</f>
        <v>0</v>
      </c>
      <c r="H112" s="340">
        <v>400</v>
      </c>
    </row>
    <row r="113" spans="2:8" x14ac:dyDescent="0.55000000000000004">
      <c r="B113" s="338" t="s">
        <v>134</v>
      </c>
      <c r="C113" s="71">
        <f>IF(B113='ورود اطلاعات'!D9,H113,0)</f>
        <v>0</v>
      </c>
      <c r="D113" s="338" t="s">
        <v>135</v>
      </c>
      <c r="E113" s="71">
        <f>IF(D113='ورود اطلاعات'!D10,H113,0)</f>
        <v>0</v>
      </c>
      <c r="F113" s="338" t="s">
        <v>135</v>
      </c>
      <c r="G113" s="71">
        <f>IF(F113='ورود اطلاعات'!D11,H113,0)</f>
        <v>0</v>
      </c>
      <c r="H113" s="340">
        <v>500</v>
      </c>
    </row>
    <row r="114" spans="2:8" x14ac:dyDescent="0.55000000000000004">
      <c r="B114" s="338" t="s">
        <v>136</v>
      </c>
      <c r="C114" s="71">
        <f>IF(B114='ورود اطلاعات'!D9,H114,0)</f>
        <v>0</v>
      </c>
      <c r="D114" s="338" t="s">
        <v>137</v>
      </c>
      <c r="E114" s="71">
        <f>IF(D114='ورود اطلاعات'!D10,H114,0)</f>
        <v>0</v>
      </c>
      <c r="F114" s="338" t="s">
        <v>137</v>
      </c>
      <c r="G114" s="71">
        <f>IF(F114='ورود اطلاعات'!D11,H114,0)</f>
        <v>0</v>
      </c>
      <c r="H114" s="340">
        <v>600</v>
      </c>
    </row>
    <row r="115" spans="2:8" x14ac:dyDescent="0.55000000000000004">
      <c r="B115" s="338" t="s">
        <v>138</v>
      </c>
      <c r="C115" s="71">
        <f>IF(B115='ورود اطلاعات'!D9,H115,0)</f>
        <v>0</v>
      </c>
      <c r="D115" s="338" t="s">
        <v>139</v>
      </c>
      <c r="E115" s="71">
        <f>IF(D115='ورود اطلاعات'!D10,H115,0)</f>
        <v>0</v>
      </c>
      <c r="F115" s="338" t="s">
        <v>139</v>
      </c>
      <c r="G115" s="71">
        <f>IF(F115='ورود اطلاعات'!D11,H115,0)</f>
        <v>0</v>
      </c>
      <c r="H115" s="340">
        <v>700</v>
      </c>
    </row>
    <row r="116" spans="2:8" x14ac:dyDescent="0.55000000000000004">
      <c r="B116" s="338" t="s">
        <v>140</v>
      </c>
      <c r="C116" s="71">
        <f>IF(B116='ورود اطلاعات'!D9,H116,0)</f>
        <v>0</v>
      </c>
      <c r="D116" s="338" t="s">
        <v>141</v>
      </c>
      <c r="E116" s="71">
        <f>IF(D116='ورود اطلاعات'!D10,H116,0)</f>
        <v>0</v>
      </c>
      <c r="F116" s="338" t="s">
        <v>141</v>
      </c>
      <c r="G116" s="71">
        <f>IF(F116='ورود اطلاعات'!D11,H116,0)</f>
        <v>0</v>
      </c>
      <c r="H116" s="340">
        <v>800</v>
      </c>
    </row>
    <row r="117" spans="2:8" x14ac:dyDescent="0.55000000000000004">
      <c r="B117" s="338" t="s">
        <v>142</v>
      </c>
      <c r="C117" s="71">
        <f>IF(B117='ورود اطلاعات'!D9,H117,0)</f>
        <v>0</v>
      </c>
      <c r="D117" s="338" t="s">
        <v>143</v>
      </c>
      <c r="E117" s="71">
        <f>IF(D117='ورود اطلاعات'!D10,H117,0)</f>
        <v>0</v>
      </c>
      <c r="F117" s="338" t="s">
        <v>143</v>
      </c>
      <c r="G117" s="71">
        <f>IF(F117='ورود اطلاعات'!D11,H117,0)</f>
        <v>0</v>
      </c>
      <c r="H117" s="340">
        <v>900</v>
      </c>
    </row>
    <row r="118" spans="2:8" x14ac:dyDescent="0.55000000000000004">
      <c r="B118" s="338" t="s">
        <v>144</v>
      </c>
      <c r="C118" s="71">
        <f>IF(B118='ورود اطلاعات'!D9,H118,0)</f>
        <v>0</v>
      </c>
      <c r="D118" s="338" t="s">
        <v>145</v>
      </c>
      <c r="E118" s="71">
        <f>IF(D118='ورود اطلاعات'!D10,H118,0)</f>
        <v>0</v>
      </c>
      <c r="F118" s="338" t="s">
        <v>145</v>
      </c>
      <c r="G118" s="71">
        <f>IF(F118='ورود اطلاعات'!D11,H118,0)</f>
        <v>0</v>
      </c>
      <c r="H118" s="340">
        <v>1000</v>
      </c>
    </row>
    <row r="119" spans="2:8" x14ac:dyDescent="0.55000000000000004">
      <c r="B119" s="338" t="s">
        <v>146</v>
      </c>
      <c r="C119" s="71">
        <f>IF(B119='ورود اطلاعات'!D9,H119,0)</f>
        <v>0</v>
      </c>
      <c r="D119" s="338" t="s">
        <v>147</v>
      </c>
      <c r="E119" s="71">
        <f>IF(D119='ورود اطلاعات'!D10,H119,0)</f>
        <v>0</v>
      </c>
      <c r="F119" s="338" t="s">
        <v>147</v>
      </c>
      <c r="G119" s="71">
        <f>IF(F119='ورود اطلاعات'!D11,H119,0)</f>
        <v>0</v>
      </c>
      <c r="H119" s="340">
        <v>1100</v>
      </c>
    </row>
    <row r="120" spans="2:8" x14ac:dyDescent="0.55000000000000004">
      <c r="B120" s="338" t="s">
        <v>148</v>
      </c>
      <c r="C120" s="71">
        <f>IF(B120='ورود اطلاعات'!D9,H120,0)</f>
        <v>0</v>
      </c>
      <c r="D120" s="338" t="s">
        <v>149</v>
      </c>
      <c r="E120" s="71">
        <f>IF(D120='ورود اطلاعات'!D10,H120,0)</f>
        <v>0</v>
      </c>
      <c r="F120" s="338" t="s">
        <v>149</v>
      </c>
      <c r="G120" s="71">
        <f>IF(F120='ورود اطلاعات'!D11,H120,0)</f>
        <v>0</v>
      </c>
      <c r="H120" s="340">
        <v>1200</v>
      </c>
    </row>
    <row r="121" spans="2:8" x14ac:dyDescent="0.55000000000000004">
      <c r="B121" s="338" t="s">
        <v>150</v>
      </c>
      <c r="C121" s="71">
        <f>IF(B121='ورود اطلاعات'!D9,H121,0)</f>
        <v>0</v>
      </c>
      <c r="D121" s="338" t="s">
        <v>151</v>
      </c>
      <c r="E121" s="71">
        <f>IF(D121='ورود اطلاعات'!D10,H121,0)</f>
        <v>0</v>
      </c>
      <c r="F121" s="338" t="s">
        <v>151</v>
      </c>
      <c r="G121" s="71">
        <f>IF(F121='ورود اطلاعات'!D11,H121,0)</f>
        <v>0</v>
      </c>
      <c r="H121" s="340">
        <v>1300</v>
      </c>
    </row>
    <row r="122" spans="2:8" x14ac:dyDescent="0.55000000000000004">
      <c r="B122" s="338" t="s">
        <v>152</v>
      </c>
      <c r="C122" s="71">
        <f>IF(B122='ورود اطلاعات'!D9,H122,0)</f>
        <v>0</v>
      </c>
      <c r="D122" s="338" t="s">
        <v>153</v>
      </c>
      <c r="E122" s="71">
        <f>IF(D122='ورود اطلاعات'!D10,H122,0)</f>
        <v>0</v>
      </c>
      <c r="F122" s="338" t="s">
        <v>153</v>
      </c>
      <c r="G122" s="71">
        <f>IF(F122='ورود اطلاعات'!D11,H122,0)</f>
        <v>0</v>
      </c>
      <c r="H122" s="340">
        <v>1500</v>
      </c>
    </row>
    <row r="123" spans="2:8" ht="23.25" thickBot="1" x14ac:dyDescent="0.6">
      <c r="B123" s="339" t="s">
        <v>154</v>
      </c>
      <c r="C123" s="65">
        <f>IF(B123='ورود اطلاعات'!D9,H123,0)</f>
        <v>0</v>
      </c>
      <c r="D123" s="339" t="s">
        <v>155</v>
      </c>
      <c r="E123" s="65">
        <f>IF(D123='ورود اطلاعات'!D10,H123,0)</f>
        <v>0</v>
      </c>
      <c r="F123" s="339" t="s">
        <v>155</v>
      </c>
      <c r="G123" s="65">
        <f>IF(F123='ورود اطلاعات'!D11,H123,0)</f>
        <v>0</v>
      </c>
      <c r="H123" s="341">
        <v>1550</v>
      </c>
    </row>
    <row r="124" spans="2:8" ht="23.25" thickBot="1" x14ac:dyDescent="0.6">
      <c r="B124" s="348" t="s">
        <v>311</v>
      </c>
      <c r="C124" s="350">
        <f>SUM(C112:C123)</f>
        <v>0</v>
      </c>
      <c r="D124" s="348" t="s">
        <v>312</v>
      </c>
      <c r="E124" s="350">
        <f>SUM(E111:E123)</f>
        <v>0</v>
      </c>
      <c r="F124" s="349" t="s">
        <v>313</v>
      </c>
      <c r="G124" s="350">
        <f>SUM(G111:G123)</f>
        <v>0</v>
      </c>
      <c r="H124" s="342"/>
    </row>
    <row r="125" spans="2:8" ht="23.25" thickBot="1" x14ac:dyDescent="0.6">
      <c r="B125" s="541" t="s">
        <v>314</v>
      </c>
      <c r="C125" s="542"/>
      <c r="D125" s="542"/>
      <c r="E125" s="350">
        <f>IF(محاسبات!D2='ورود اطلاعات'!D15,1500,0)</f>
        <v>0</v>
      </c>
      <c r="F125" s="537" t="s">
        <v>315</v>
      </c>
      <c r="G125" s="538"/>
      <c r="H125" s="343">
        <f>G124+E124+C124+E125</f>
        <v>0</v>
      </c>
    </row>
    <row r="126" spans="2:8" ht="23.25" thickBot="1" x14ac:dyDescent="0.6">
      <c r="B126" s="344"/>
      <c r="C126" s="345"/>
      <c r="D126" s="345"/>
      <c r="E126" s="345"/>
      <c r="F126" s="345"/>
      <c r="G126" s="345"/>
      <c r="H126" s="346"/>
    </row>
    <row r="127" spans="2:8" ht="23.25" thickBot="1" x14ac:dyDescent="0.6">
      <c r="B127" s="344"/>
      <c r="C127" s="345"/>
      <c r="D127" s="539" t="s">
        <v>309</v>
      </c>
      <c r="E127" s="540"/>
      <c r="F127" s="69">
        <f>IF(H125&gt;1500,1500,H125)</f>
        <v>0</v>
      </c>
      <c r="G127" s="345"/>
      <c r="H127" s="346"/>
    </row>
    <row r="128" spans="2:8" ht="23.25" thickBot="1" x14ac:dyDescent="0.6">
      <c r="B128" s="344"/>
      <c r="C128" s="345"/>
      <c r="D128" s="345"/>
      <c r="E128" s="345"/>
      <c r="F128" s="345"/>
      <c r="G128" s="345"/>
      <c r="H128" s="346"/>
    </row>
    <row r="129" spans="2:8" x14ac:dyDescent="0.55000000000000004">
      <c r="B129" s="547">
        <f>IF(H125&gt;1500,محاسبات!B97,محاسبات!B96)</f>
        <v>0</v>
      </c>
      <c r="C129" s="543">
        <f>IF(H125&gt;1500,محاسبات!C101,محاسبات!B96)</f>
        <v>0</v>
      </c>
      <c r="D129" s="543"/>
      <c r="E129" s="543"/>
      <c r="F129" s="543"/>
      <c r="G129" s="543"/>
      <c r="H129" s="544"/>
    </row>
    <row r="130" spans="2:8" ht="23.25" thickBot="1" x14ac:dyDescent="0.6">
      <c r="B130" s="548"/>
      <c r="C130" s="545"/>
      <c r="D130" s="545"/>
      <c r="E130" s="545"/>
      <c r="F130" s="545"/>
      <c r="G130" s="545"/>
      <c r="H130" s="546"/>
    </row>
  </sheetData>
  <mergeCells count="34">
    <mergeCell ref="C53:D53"/>
    <mergeCell ref="C63:D63"/>
    <mergeCell ref="C64:D64"/>
    <mergeCell ref="A3:B3"/>
    <mergeCell ref="AH29:AI29"/>
    <mergeCell ref="K25:L25"/>
    <mergeCell ref="K24:L24"/>
    <mergeCell ref="N10:O10"/>
    <mergeCell ref="Q10:R10"/>
    <mergeCell ref="Q11:R11"/>
    <mergeCell ref="Q12:R12"/>
    <mergeCell ref="Q13:R13"/>
    <mergeCell ref="N11:O11"/>
    <mergeCell ref="A22:B22"/>
    <mergeCell ref="D17:E17"/>
    <mergeCell ref="O18:R18"/>
    <mergeCell ref="P23:Q23"/>
    <mergeCell ref="K23:L23"/>
    <mergeCell ref="O25:Q25"/>
    <mergeCell ref="O26:Q26"/>
    <mergeCell ref="C48:D48"/>
    <mergeCell ref="C105:F105"/>
    <mergeCell ref="C106:F106"/>
    <mergeCell ref="C107:F107"/>
    <mergeCell ref="C57:D57"/>
    <mergeCell ref="C58:D58"/>
    <mergeCell ref="D88:E88"/>
    <mergeCell ref="C65:D65"/>
    <mergeCell ref="B109:H109"/>
    <mergeCell ref="F125:G125"/>
    <mergeCell ref="D127:E127"/>
    <mergeCell ref="B125:D125"/>
    <mergeCell ref="C129:H130"/>
    <mergeCell ref="B129:B130"/>
  </mergeCells>
  <dataValidations count="1">
    <dataValidation type="list" allowBlank="1" showInputMessage="1" showErrorMessage="1" sqref="B33">
      <formula1>$F$1:$F$2</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B1:C31"/>
  <sheetViews>
    <sheetView rightToLeft="1" workbookViewId="0">
      <selection activeCell="C10" sqref="C10"/>
    </sheetView>
  </sheetViews>
  <sheetFormatPr defaultColWidth="9" defaultRowHeight="14.25" x14ac:dyDescent="0.2"/>
  <cols>
    <col min="1" max="1" width="9" style="90"/>
    <col min="2" max="2" width="41.375" style="90" customWidth="1"/>
    <col min="3" max="3" width="28" style="90" customWidth="1"/>
    <col min="4" max="16384" width="9" style="90"/>
  </cols>
  <sheetData>
    <row r="1" spans="2:3" ht="15" thickBot="1" x14ac:dyDescent="0.25"/>
    <row r="2" spans="2:3" ht="25.5" thickBot="1" x14ac:dyDescent="0.25">
      <c r="B2" s="607" t="s">
        <v>282</v>
      </c>
      <c r="C2" s="608"/>
    </row>
    <row r="3" spans="2:3" ht="22.5" x14ac:dyDescent="0.55000000000000004">
      <c r="B3" s="603" t="s">
        <v>283</v>
      </c>
      <c r="C3" s="604"/>
    </row>
    <row r="4" spans="2:3" ht="23.25" thickBot="1" x14ac:dyDescent="0.6">
      <c r="B4" s="605" t="s">
        <v>288</v>
      </c>
      <c r="C4" s="606"/>
    </row>
    <row r="5" spans="2:3" ht="22.5" x14ac:dyDescent="0.55000000000000004">
      <c r="B5" s="267" t="s">
        <v>275</v>
      </c>
      <c r="C5" s="268">
        <v>10254750</v>
      </c>
    </row>
    <row r="6" spans="2:3" ht="22.5" x14ac:dyDescent="0.55000000000000004">
      <c r="B6" s="269" t="s">
        <v>276</v>
      </c>
      <c r="C6" s="270">
        <v>3898500</v>
      </c>
    </row>
    <row r="7" spans="2:3" ht="22.5" x14ac:dyDescent="0.55000000000000004">
      <c r="B7" s="269" t="s">
        <v>277</v>
      </c>
      <c r="C7" s="270">
        <v>5422729</v>
      </c>
    </row>
    <row r="8" spans="2:3" ht="23.25" thickBot="1" x14ac:dyDescent="0.6">
      <c r="B8" s="271" t="s">
        <v>23</v>
      </c>
      <c r="C8" s="272">
        <v>1152600</v>
      </c>
    </row>
    <row r="9" spans="2:3" ht="23.25" thickBot="1" x14ac:dyDescent="0.6">
      <c r="B9" s="273" t="s">
        <v>278</v>
      </c>
      <c r="C9" s="274">
        <v>2487429</v>
      </c>
    </row>
    <row r="10" spans="2:3" ht="23.25" thickBot="1" x14ac:dyDescent="0.6">
      <c r="B10" s="275" t="s">
        <v>279</v>
      </c>
      <c r="C10" s="276">
        <v>1658286</v>
      </c>
    </row>
    <row r="11" spans="2:3" ht="23.25" thickBot="1" x14ac:dyDescent="0.6">
      <c r="B11" s="277" t="s">
        <v>280</v>
      </c>
      <c r="C11" s="278">
        <f>C9/SUM(C5:C8)</f>
        <v>0.11999997684356463</v>
      </c>
    </row>
    <row r="12" spans="2:3" ht="23.25" thickBot="1" x14ac:dyDescent="0.6">
      <c r="B12" s="279" t="s">
        <v>281</v>
      </c>
      <c r="C12" s="280">
        <f>C10/SUM(C5:C8)</f>
        <v>7.9999984562376419E-2</v>
      </c>
    </row>
    <row r="13" spans="2:3" ht="15" thickBot="1" x14ac:dyDescent="0.25"/>
    <row r="14" spans="2:3" ht="28.5" thickBot="1" x14ac:dyDescent="0.25">
      <c r="B14" s="609" t="s">
        <v>289</v>
      </c>
      <c r="C14" s="610"/>
    </row>
    <row r="15" spans="2:3" ht="22.5" x14ac:dyDescent="0.55000000000000004">
      <c r="B15" s="603" t="s">
        <v>283</v>
      </c>
      <c r="C15" s="604"/>
    </row>
    <row r="16" spans="2:3" ht="23.25" thickBot="1" x14ac:dyDescent="0.6">
      <c r="B16" s="605" t="s">
        <v>297</v>
      </c>
      <c r="C16" s="606"/>
    </row>
    <row r="17" spans="2:3" ht="22.5" x14ac:dyDescent="0.55000000000000004">
      <c r="B17" s="281" t="s">
        <v>275</v>
      </c>
      <c r="C17" s="268">
        <v>6441000</v>
      </c>
    </row>
    <row r="18" spans="2:3" ht="22.5" x14ac:dyDescent="0.55000000000000004">
      <c r="B18" s="282" t="s">
        <v>276</v>
      </c>
      <c r="C18" s="270">
        <v>0</v>
      </c>
    </row>
    <row r="19" spans="2:3" ht="22.5" x14ac:dyDescent="0.55000000000000004">
      <c r="B19" s="282" t="s">
        <v>277</v>
      </c>
      <c r="C19" s="270">
        <v>4830750</v>
      </c>
    </row>
    <row r="20" spans="2:3" ht="22.5" x14ac:dyDescent="0.55000000000000004">
      <c r="B20" s="282" t="s">
        <v>284</v>
      </c>
      <c r="C20" s="270">
        <v>2542500</v>
      </c>
    </row>
    <row r="21" spans="2:3" ht="22.5" x14ac:dyDescent="0.55000000000000004">
      <c r="B21" s="282" t="s">
        <v>285</v>
      </c>
      <c r="C21" s="270">
        <v>0</v>
      </c>
    </row>
    <row r="22" spans="2:3" ht="23.25" thickBot="1" x14ac:dyDescent="0.6">
      <c r="B22" s="283" t="s">
        <v>290</v>
      </c>
      <c r="C22" s="272">
        <v>203400</v>
      </c>
    </row>
    <row r="23" spans="2:3" ht="23.25" thickBot="1" x14ac:dyDescent="0.6">
      <c r="B23" s="284" t="s">
        <v>286</v>
      </c>
      <c r="C23" s="285">
        <v>2943707</v>
      </c>
    </row>
    <row r="24" spans="2:3" ht="23.25" thickBot="1" x14ac:dyDescent="0.6">
      <c r="B24" s="286" t="s">
        <v>287</v>
      </c>
      <c r="C24" s="280">
        <f>C23/SUM(C17:C22)</f>
        <v>0.21000003566931691</v>
      </c>
    </row>
    <row r="25" spans="2:3" ht="15" thickBot="1" x14ac:dyDescent="0.25"/>
    <row r="26" spans="2:3" ht="28.5" thickBot="1" x14ac:dyDescent="0.25">
      <c r="B26" s="609" t="s">
        <v>295</v>
      </c>
      <c r="C26" s="610"/>
    </row>
    <row r="27" spans="2:3" ht="22.5" x14ac:dyDescent="0.55000000000000004">
      <c r="B27" s="603" t="s">
        <v>283</v>
      </c>
      <c r="C27" s="604"/>
    </row>
    <row r="28" spans="2:3" ht="23.25" thickBot="1" x14ac:dyDescent="0.6">
      <c r="B28" s="605" t="s">
        <v>297</v>
      </c>
      <c r="C28" s="606"/>
    </row>
    <row r="29" spans="2:3" ht="22.5" x14ac:dyDescent="0.55000000000000004">
      <c r="B29" s="281" t="s">
        <v>275</v>
      </c>
      <c r="C29" s="388">
        <v>10579520.890451521</v>
      </c>
    </row>
    <row r="30" spans="2:3" ht="23.25" thickBot="1" x14ac:dyDescent="0.6">
      <c r="B30" s="284" t="s">
        <v>296</v>
      </c>
      <c r="C30" s="388">
        <v>2817696.0000000005</v>
      </c>
    </row>
    <row r="31" spans="2:3" ht="23.25" thickBot="1" x14ac:dyDescent="0.6">
      <c r="B31" s="286" t="s">
        <v>287</v>
      </c>
      <c r="C31" s="280">
        <f>C30/C29</f>
        <v>0.26633493417864451</v>
      </c>
    </row>
  </sheetData>
  <sheetProtection algorithmName="SHA-512" hashValue="Ezr8wqx246bVWHzVyMUgKKeg2OgsVc4cZDtI1KAktkdDHv3r7N1xbgGfZXYkHTJI88C0RtxwKWsDAezHPLqlsg==" saltValue="95ElTsAAchRtd0Lj2CJ6JA==" spinCount="100000" sheet="1" objects="1" scenarios="1"/>
  <mergeCells count="9">
    <mergeCell ref="B27:C27"/>
    <mergeCell ref="B28:C28"/>
    <mergeCell ref="B3:C3"/>
    <mergeCell ref="B4:C4"/>
    <mergeCell ref="B2:C2"/>
    <mergeCell ref="B14:C14"/>
    <mergeCell ref="B15:C15"/>
    <mergeCell ref="B16:C16"/>
    <mergeCell ref="B26:C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O24"/>
  <sheetViews>
    <sheetView rightToLeft="1" topLeftCell="A7" zoomScaleNormal="100" workbookViewId="0">
      <selection activeCell="B9" sqref="B9"/>
    </sheetView>
  </sheetViews>
  <sheetFormatPr defaultRowHeight="14.25" x14ac:dyDescent="0.2"/>
  <cols>
    <col min="2" max="2" width="12.25" customWidth="1"/>
    <col min="3" max="3" width="8" bestFit="1" customWidth="1"/>
    <col min="4" max="4" width="15.875" customWidth="1"/>
    <col min="5" max="5" width="10.375" bestFit="1" customWidth="1"/>
    <col min="6" max="6" width="8.375" customWidth="1"/>
    <col min="7" max="7" width="12.375" bestFit="1" customWidth="1"/>
    <col min="8" max="8" width="8.25" customWidth="1"/>
    <col min="9" max="9" width="9.625" bestFit="1" customWidth="1"/>
    <col min="10" max="10" width="9" customWidth="1"/>
    <col min="12" max="12" width="29.75" customWidth="1"/>
    <col min="13" max="13" width="16.125" customWidth="1"/>
    <col min="14" max="14" width="15.375" customWidth="1"/>
    <col min="15" max="15" width="17.25" customWidth="1"/>
    <col min="16" max="16" width="24.125" bestFit="1" customWidth="1"/>
    <col min="20" max="20" width="28.125" customWidth="1"/>
    <col min="21" max="21" width="16.75" customWidth="1"/>
    <col min="22" max="22" width="18.125" customWidth="1"/>
    <col min="23" max="23" width="21.375" customWidth="1"/>
  </cols>
  <sheetData>
    <row r="1" spans="2:15" ht="33" customHeight="1" thickBot="1" x14ac:dyDescent="0.25"/>
    <row r="2" spans="2:15" ht="27.75" thickBot="1" x14ac:dyDescent="0.25">
      <c r="B2" s="624" t="s">
        <v>321</v>
      </c>
      <c r="C2" s="625"/>
      <c r="D2" s="625"/>
      <c r="E2" s="625"/>
      <c r="F2" s="625"/>
      <c r="G2" s="625"/>
      <c r="H2" s="625"/>
      <c r="I2" s="625"/>
      <c r="J2" s="626"/>
      <c r="L2" s="534" t="s">
        <v>326</v>
      </c>
      <c r="M2" s="535"/>
      <c r="N2" s="535"/>
      <c r="O2" s="536"/>
    </row>
    <row r="3" spans="2:15" ht="21.75" thickBot="1" x14ac:dyDescent="0.25">
      <c r="B3" s="632" t="s">
        <v>108</v>
      </c>
      <c r="C3" s="633"/>
      <c r="D3" s="354" t="s">
        <v>1</v>
      </c>
      <c r="E3" s="354" t="s">
        <v>109</v>
      </c>
      <c r="F3" s="354" t="s">
        <v>1</v>
      </c>
      <c r="G3" s="354" t="s">
        <v>110</v>
      </c>
      <c r="H3" s="354" t="s">
        <v>1</v>
      </c>
      <c r="I3" s="354" t="s">
        <v>111</v>
      </c>
      <c r="J3" s="355" t="s">
        <v>1</v>
      </c>
      <c r="L3" s="353" t="s">
        <v>199</v>
      </c>
      <c r="M3" s="354" t="s">
        <v>205</v>
      </c>
      <c r="N3" s="354" t="s">
        <v>206</v>
      </c>
      <c r="O3" s="355" t="s">
        <v>207</v>
      </c>
    </row>
    <row r="4" spans="2:15" ht="22.5" x14ac:dyDescent="0.55000000000000004">
      <c r="B4" s="34" t="s">
        <v>112</v>
      </c>
      <c r="C4" s="35">
        <v>1100</v>
      </c>
      <c r="D4" s="356">
        <f>IF(B4='ورود اطلاعات'!B9,C4,0)</f>
        <v>0</v>
      </c>
      <c r="E4" s="35">
        <v>200</v>
      </c>
      <c r="F4" s="356">
        <f>IF(B4='ورود اطلاعات'!B9,E4,0)</f>
        <v>0</v>
      </c>
      <c r="G4" s="36">
        <v>10</v>
      </c>
      <c r="H4" s="356">
        <f>IF(B4='ورود اطلاعات'!B9,G4,0)</f>
        <v>0</v>
      </c>
      <c r="I4" s="357">
        <v>8</v>
      </c>
      <c r="J4" s="358">
        <f>IF(B4='ورود اطلاعات'!B9,I4,0)</f>
        <v>0</v>
      </c>
      <c r="L4" s="186" t="s">
        <v>342</v>
      </c>
      <c r="M4" s="118">
        <f>محاسبات!D76</f>
        <v>16363229.019250719</v>
      </c>
      <c r="N4" s="119">
        <v>0</v>
      </c>
      <c r="O4" s="120">
        <f>N4*M4</f>
        <v>0</v>
      </c>
    </row>
    <row r="5" spans="2:15" ht="22.5" x14ac:dyDescent="0.55000000000000004">
      <c r="B5" s="369" t="s">
        <v>113</v>
      </c>
      <c r="C5" s="368">
        <v>1200</v>
      </c>
      <c r="D5" s="306">
        <f>IF(B5='ورود اطلاعات'!B9,C5,0)</f>
        <v>1200</v>
      </c>
      <c r="E5" s="368">
        <v>250</v>
      </c>
      <c r="F5" s="306">
        <f>IF(B5='ورود اطلاعات'!B9,E5,0)</f>
        <v>250</v>
      </c>
      <c r="G5" s="23">
        <v>15</v>
      </c>
      <c r="H5" s="306">
        <f>IF(B5='ورود اطلاعات'!B9,G5,0)</f>
        <v>15</v>
      </c>
      <c r="I5" s="47">
        <v>10</v>
      </c>
      <c r="J5" s="312">
        <f>IF(B5='ورود اطلاعات'!B9,I5,0)</f>
        <v>10</v>
      </c>
      <c r="L5" s="187" t="s">
        <v>201</v>
      </c>
      <c r="M5" s="135">
        <f>محاسبات!F77</f>
        <v>0</v>
      </c>
      <c r="N5" s="136">
        <v>0.1</v>
      </c>
      <c r="O5" s="137">
        <f>N5*M5</f>
        <v>0</v>
      </c>
    </row>
    <row r="6" spans="2:15" ht="22.5" x14ac:dyDescent="0.55000000000000004">
      <c r="B6" s="369" t="s">
        <v>114</v>
      </c>
      <c r="C6" s="368">
        <v>1400</v>
      </c>
      <c r="D6" s="306">
        <f>IF(B6='ورود اطلاعات'!B9,C6,0)</f>
        <v>0</v>
      </c>
      <c r="E6" s="368">
        <v>300</v>
      </c>
      <c r="F6" s="306">
        <f>IF(B6='ورود اطلاعات'!B9,E6,0)</f>
        <v>0</v>
      </c>
      <c r="G6" s="23">
        <v>20</v>
      </c>
      <c r="H6" s="306">
        <f>IF(B6='ورود اطلاعات'!B9,G6,0)</f>
        <v>0</v>
      </c>
      <c r="I6" s="47">
        <v>12</v>
      </c>
      <c r="J6" s="312">
        <f>IF(B6='ورود اطلاعات'!B9,I6,0)</f>
        <v>0</v>
      </c>
      <c r="L6" s="186" t="s">
        <v>202</v>
      </c>
      <c r="M6" s="118">
        <f>محاسبات!F78</f>
        <v>0</v>
      </c>
      <c r="N6" s="119">
        <v>0.15</v>
      </c>
      <c r="O6" s="120">
        <f>N6*M6</f>
        <v>0</v>
      </c>
    </row>
    <row r="7" spans="2:15" ht="22.5" x14ac:dyDescent="0.55000000000000004">
      <c r="B7" s="369" t="s">
        <v>115</v>
      </c>
      <c r="C7" s="368">
        <v>1700</v>
      </c>
      <c r="D7" s="306">
        <f>IF(B7='ورود اطلاعات'!B9,C7,0)</f>
        <v>0</v>
      </c>
      <c r="E7" s="368">
        <v>400</v>
      </c>
      <c r="F7" s="306">
        <f>IF(B7='ورود اطلاعات'!B9,E7,0)</f>
        <v>0</v>
      </c>
      <c r="G7" s="23">
        <v>25</v>
      </c>
      <c r="H7" s="306">
        <f>IF(B7='ورود اطلاعات'!B9,G7,0)</f>
        <v>0</v>
      </c>
      <c r="I7" s="47">
        <v>14</v>
      </c>
      <c r="J7" s="312">
        <f>IF(B7='ورود اطلاعات'!B9,I7,0)</f>
        <v>0</v>
      </c>
      <c r="L7" s="187" t="s">
        <v>203</v>
      </c>
      <c r="M7" s="135">
        <f>محاسبات!F79</f>
        <v>0</v>
      </c>
      <c r="N7" s="136">
        <v>0.25</v>
      </c>
      <c r="O7" s="137">
        <f>N7*M7</f>
        <v>0</v>
      </c>
    </row>
    <row r="8" spans="2:15" ht="22.5" x14ac:dyDescent="0.55000000000000004">
      <c r="B8" s="369" t="s">
        <v>116</v>
      </c>
      <c r="C8" s="368">
        <v>2000</v>
      </c>
      <c r="D8" s="306">
        <f>IF(B8='ورود اطلاعات'!B9,C8,0)</f>
        <v>0</v>
      </c>
      <c r="E8" s="368">
        <v>600</v>
      </c>
      <c r="F8" s="306">
        <f>IF(B8='ورود اطلاعات'!B9,E8,0)</f>
        <v>0</v>
      </c>
      <c r="G8" s="23">
        <v>30</v>
      </c>
      <c r="H8" s="306">
        <f>IF(B8='ورود اطلاعات'!B9,G8,0)</f>
        <v>0</v>
      </c>
      <c r="I8" s="47">
        <v>16</v>
      </c>
      <c r="J8" s="312">
        <f>IF(B8='ورود اطلاعات'!B9,I8,0)</f>
        <v>0</v>
      </c>
      <c r="L8" s="186" t="s">
        <v>204</v>
      </c>
      <c r="M8" s="118">
        <f>محاسبات!F80</f>
        <v>0</v>
      </c>
      <c r="N8" s="119">
        <v>0.35</v>
      </c>
      <c r="O8" s="120">
        <f>N8*M8</f>
        <v>0</v>
      </c>
    </row>
    <row r="9" spans="2:15" ht="23.25" thickBot="1" x14ac:dyDescent="0.6">
      <c r="B9" s="369" t="s">
        <v>117</v>
      </c>
      <c r="C9" s="368">
        <v>2300</v>
      </c>
      <c r="D9" s="306">
        <f>IF(B9='ورود اطلاعات'!B9,C9,0)</f>
        <v>0</v>
      </c>
      <c r="E9" s="368">
        <v>800</v>
      </c>
      <c r="F9" s="306">
        <f>IF(B9='ورود اطلاعات'!B9,E9,0)</f>
        <v>0</v>
      </c>
      <c r="G9" s="23">
        <v>35</v>
      </c>
      <c r="H9" s="306">
        <f>IF(B9='ورود اطلاعات'!B9,G9,0)</f>
        <v>0</v>
      </c>
      <c r="I9" s="47">
        <v>18</v>
      </c>
      <c r="J9" s="312">
        <f>IF(B9='ورود اطلاعات'!B9,I9,0)</f>
        <v>0</v>
      </c>
      <c r="L9" s="360" t="s">
        <v>9</v>
      </c>
      <c r="M9" s="361">
        <f>SUM(M4:M8)</f>
        <v>16363229.019250719</v>
      </c>
      <c r="N9" s="362"/>
      <c r="O9" s="363"/>
    </row>
    <row r="10" spans="2:15" ht="23.25" thickBot="1" x14ac:dyDescent="0.6">
      <c r="B10" s="627" t="s">
        <v>293</v>
      </c>
      <c r="C10" s="628"/>
      <c r="D10" s="110">
        <f>SUM(D4:D9)</f>
        <v>1200</v>
      </c>
      <c r="E10" s="264" t="s">
        <v>294</v>
      </c>
      <c r="F10" s="110">
        <f>SUM(F4:F9)</f>
        <v>250</v>
      </c>
      <c r="G10" s="54"/>
      <c r="H10" s="309">
        <f>SUM(H4:H9)</f>
        <v>15</v>
      </c>
      <c r="I10" s="255"/>
      <c r="J10" s="313">
        <f>SUM(J4:J9)</f>
        <v>10</v>
      </c>
      <c r="L10" s="366" t="s">
        <v>332</v>
      </c>
      <c r="M10" s="367">
        <f>محاسبات!D66</f>
        <v>16363229.019250719</v>
      </c>
      <c r="N10" s="364" t="s">
        <v>208</v>
      </c>
      <c r="O10" s="365">
        <f>SUM(O4:O8)</f>
        <v>0</v>
      </c>
    </row>
    <row r="11" spans="2:15" ht="22.5" x14ac:dyDescent="0.55000000000000004">
      <c r="B11" s="327"/>
      <c r="C11" s="326"/>
      <c r="D11" s="326"/>
      <c r="E11" s="326"/>
      <c r="F11" s="326"/>
      <c r="G11" s="326" t="s">
        <v>119</v>
      </c>
      <c r="H11" s="306">
        <f>IF('ورود اطلاعات'!B10&gt;30,30,'ورود اطلاعات'!B10)</f>
        <v>20</v>
      </c>
      <c r="I11" s="326" t="s">
        <v>119</v>
      </c>
      <c r="J11" s="312">
        <f>IF('ورود اطلاعات'!B12&gt;29,30,'ورود اطلاعات'!B12)</f>
        <v>20</v>
      </c>
      <c r="L11" s="380"/>
      <c r="M11" s="387"/>
      <c r="N11" s="387"/>
      <c r="O11" s="381"/>
    </row>
    <row r="12" spans="2:15" ht="23.25" thickBot="1" x14ac:dyDescent="0.6">
      <c r="B12" s="629" t="s">
        <v>304</v>
      </c>
      <c r="C12" s="630"/>
      <c r="D12" s="631"/>
      <c r="E12" s="58">
        <f>SUM(J17,J15,H15,F10,D10)</f>
        <v>2077.0833333333335</v>
      </c>
      <c r="F12" s="371"/>
      <c r="G12" s="371" t="s">
        <v>120</v>
      </c>
      <c r="H12" s="306">
        <f>IF('ورود اطلاعات'!B10&gt;29,0,'ورود اطلاعات'!B11)</f>
        <v>1</v>
      </c>
      <c r="I12" s="371" t="s">
        <v>120</v>
      </c>
      <c r="J12" s="312">
        <f>IF('ورود اطلاعات'!B12&gt;29,0,'ورود اطلاعات'!B13)</f>
        <v>1</v>
      </c>
      <c r="L12" s="634"/>
      <c r="M12" s="635"/>
      <c r="N12" s="635"/>
      <c r="O12" s="636"/>
    </row>
    <row r="13" spans="2:15" ht="23.25" customHeight="1" thickBot="1" x14ac:dyDescent="0.6">
      <c r="B13" s="325"/>
      <c r="C13" s="371"/>
      <c r="D13" s="371" t="s">
        <v>123</v>
      </c>
      <c r="E13" s="328">
        <f>IF(محاسبات!F1='ورود اطلاعات'!B5,محاسبات!E72,محاسبات!E71)</f>
        <v>0</v>
      </c>
      <c r="F13" s="371"/>
      <c r="G13" s="371"/>
      <c r="H13" s="307">
        <f>H11*H10</f>
        <v>300</v>
      </c>
      <c r="I13" s="371"/>
      <c r="J13" s="314">
        <f>J11*J10</f>
        <v>200</v>
      </c>
      <c r="L13" s="611" t="s">
        <v>344</v>
      </c>
      <c r="M13" s="614" t="s">
        <v>343</v>
      </c>
      <c r="N13" s="615"/>
      <c r="O13" s="386" t="s">
        <v>39</v>
      </c>
    </row>
    <row r="14" spans="2:15" ht="22.5" customHeight="1" x14ac:dyDescent="0.55000000000000004">
      <c r="B14" s="325"/>
      <c r="C14" s="371"/>
      <c r="D14" s="371" t="s">
        <v>305</v>
      </c>
      <c r="E14" s="328">
        <f>IF(محاسبات!F1='ورود اطلاعات'!B5,محاسبات!F72,محاسبات!F71)</f>
        <v>0</v>
      </c>
      <c r="F14" s="371"/>
      <c r="G14" s="371"/>
      <c r="H14" s="308">
        <f>(H12/12)*H10</f>
        <v>1.25</v>
      </c>
      <c r="I14" s="371"/>
      <c r="J14" s="315">
        <f>(J12/12)*J10</f>
        <v>0.83333333333333326</v>
      </c>
      <c r="L14" s="612"/>
      <c r="M14" s="616" t="s">
        <v>345</v>
      </c>
      <c r="N14" s="617"/>
      <c r="O14" s="383">
        <v>23000000</v>
      </c>
    </row>
    <row r="15" spans="2:15" ht="22.5" customHeight="1" x14ac:dyDescent="0.55000000000000004">
      <c r="B15" s="325"/>
      <c r="C15" s="371"/>
      <c r="D15" s="371"/>
      <c r="E15" s="328">
        <f>E14+E13</f>
        <v>0</v>
      </c>
      <c r="F15" s="371"/>
      <c r="G15" s="265" t="s">
        <v>291</v>
      </c>
      <c r="H15" s="310">
        <f>H13+H14</f>
        <v>301.25</v>
      </c>
      <c r="I15" s="265" t="s">
        <v>292</v>
      </c>
      <c r="J15" s="316">
        <f>J14+J13</f>
        <v>200.83333333333334</v>
      </c>
      <c r="L15" s="612"/>
      <c r="M15" s="618" t="s">
        <v>346</v>
      </c>
      <c r="N15" s="619"/>
      <c r="O15" s="384">
        <f>محاسبات!D75</f>
        <v>4675208.2912144912</v>
      </c>
    </row>
    <row r="16" spans="2:15" ht="23.25" customHeight="1" thickBot="1" x14ac:dyDescent="0.6">
      <c r="B16" s="325"/>
      <c r="C16" s="638" t="s">
        <v>125</v>
      </c>
      <c r="D16" s="638"/>
      <c r="E16" s="63">
        <f>IF(محاسبات!F1='ورود اطلاعات'!B5,محاسبات!H72,محاسبات!H71)</f>
        <v>0</v>
      </c>
      <c r="F16" s="371"/>
      <c r="G16" s="371"/>
      <c r="H16" s="371"/>
      <c r="I16" s="311"/>
      <c r="J16" s="317">
        <f>'ورود اطلاعات'!B18</f>
        <v>250</v>
      </c>
      <c r="L16" s="612"/>
      <c r="M16" s="620" t="s">
        <v>347</v>
      </c>
      <c r="N16" s="621"/>
      <c r="O16" s="385">
        <f>محاسبات!D74</f>
        <v>620000</v>
      </c>
    </row>
    <row r="17" spans="2:15" ht="23.25" customHeight="1" thickBot="1" x14ac:dyDescent="0.6">
      <c r="B17" s="325"/>
      <c r="C17" s="639" t="s">
        <v>121</v>
      </c>
      <c r="D17" s="639"/>
      <c r="E17" s="329">
        <f>E16+E12</f>
        <v>2077.0833333333335</v>
      </c>
      <c r="F17" s="371"/>
      <c r="G17" s="311" t="s">
        <v>122</v>
      </c>
      <c r="H17" s="318">
        <v>5190</v>
      </c>
      <c r="I17" s="311">
        <f>J16/2</f>
        <v>125</v>
      </c>
      <c r="J17" s="302">
        <f>IF(I17&gt;500,500,I17)</f>
        <v>125</v>
      </c>
      <c r="L17" s="613"/>
      <c r="M17" s="622" t="s">
        <v>9</v>
      </c>
      <c r="N17" s="623"/>
      <c r="O17" s="382">
        <f>O14+O15+O16</f>
        <v>28295208.291214492</v>
      </c>
    </row>
    <row r="18" spans="2:15" ht="23.25" thickBot="1" x14ac:dyDescent="0.6">
      <c r="B18" s="325"/>
      <c r="C18" s="640" t="s">
        <v>349</v>
      </c>
      <c r="D18" s="640"/>
      <c r="E18" s="371">
        <f>(حکم!B6+حکم!B5)*75%</f>
        <v>2250</v>
      </c>
      <c r="F18" s="371"/>
      <c r="G18" s="311"/>
      <c r="H18" s="319">
        <v>0.02</v>
      </c>
      <c r="I18" s="370" t="s">
        <v>303</v>
      </c>
      <c r="J18" s="320">
        <f>J17</f>
        <v>125</v>
      </c>
    </row>
    <row r="19" spans="2:15" ht="23.25" thickBot="1" x14ac:dyDescent="0.6">
      <c r="B19" s="325"/>
      <c r="C19" s="641" t="s">
        <v>127</v>
      </c>
      <c r="D19" s="642"/>
      <c r="E19" s="347">
        <f>IF(E17&gt;E18,E18,E17)</f>
        <v>2077.0833333333335</v>
      </c>
      <c r="F19" s="371"/>
      <c r="G19" s="311" t="s">
        <v>124</v>
      </c>
      <c r="H19" s="318">
        <v>1038</v>
      </c>
      <c r="I19" s="371"/>
      <c r="J19" s="321"/>
    </row>
    <row r="20" spans="2:15" ht="15" thickBot="1" x14ac:dyDescent="0.25">
      <c r="B20" s="324"/>
      <c r="C20" s="322"/>
      <c r="D20" s="322"/>
      <c r="E20" s="322"/>
      <c r="F20" s="322"/>
      <c r="G20" s="322"/>
      <c r="H20" s="322"/>
      <c r="I20" s="322"/>
      <c r="J20" s="323"/>
    </row>
    <row r="21" spans="2:15" ht="22.5" customHeight="1" x14ac:dyDescent="0.2">
      <c r="B21" s="303">
        <f>IF('ورود اطلاعات'!B10&gt;30,محاسبات!B97,محاسبات!B98)</f>
        <v>0</v>
      </c>
      <c r="C21" s="643">
        <f>IF('ورود اطلاعات'!B10&gt;30,محاسبات!C97,محاسبات!C96)</f>
        <v>0</v>
      </c>
      <c r="D21" s="643"/>
      <c r="E21" s="643"/>
      <c r="F21" s="643"/>
      <c r="G21" s="643"/>
      <c r="H21" s="643"/>
      <c r="I21" s="643"/>
      <c r="J21" s="643"/>
    </row>
    <row r="22" spans="2:15" ht="22.5" x14ac:dyDescent="0.2">
      <c r="B22" s="304">
        <f>IF('ورود اطلاعات'!B12&gt;30,محاسبات!B97,محاسبات!B96)</f>
        <v>0</v>
      </c>
      <c r="C22" s="644">
        <f>IF('ورود اطلاعات'!B12&gt;30,محاسبات!C98,محاسبات!C96)</f>
        <v>0</v>
      </c>
      <c r="D22" s="644"/>
      <c r="E22" s="644"/>
      <c r="F22" s="644"/>
      <c r="G22" s="644"/>
      <c r="H22" s="644"/>
      <c r="I22" s="644"/>
      <c r="J22" s="644"/>
    </row>
    <row r="23" spans="2:15" ht="22.5" x14ac:dyDescent="0.2">
      <c r="B23" s="304">
        <f>IF(E17&gt;E18,محاسبات!B97,محاسبات!B96)</f>
        <v>0</v>
      </c>
      <c r="C23" s="644">
        <f>IF(E17&gt;E18,محاسبات!C99,محاسبات!C96)</f>
        <v>0</v>
      </c>
      <c r="D23" s="644"/>
      <c r="E23" s="644"/>
      <c r="F23" s="644"/>
      <c r="G23" s="644"/>
      <c r="H23" s="644"/>
      <c r="I23" s="644"/>
      <c r="J23" s="644"/>
    </row>
    <row r="24" spans="2:15" ht="23.25" thickBot="1" x14ac:dyDescent="0.25">
      <c r="B24" s="305">
        <f>IF('ورود اطلاعات'!B18&gt;1000,محاسبات!B97,محاسبات!B96)</f>
        <v>0</v>
      </c>
      <c r="C24" s="637">
        <f>IF('ورود اطلاعات'!B18&gt;1000,محاسبات!C100,محاسبات!C96)</f>
        <v>0</v>
      </c>
      <c r="D24" s="637"/>
      <c r="E24" s="637"/>
      <c r="F24" s="637"/>
      <c r="G24" s="637"/>
      <c r="H24" s="637"/>
      <c r="I24" s="637"/>
      <c r="J24" s="637"/>
    </row>
  </sheetData>
  <sheetProtection algorithmName="SHA-512" hashValue="5hmn3Um9mfpM1qk1PRletLkvc7lLZtGzKW5deYON/j5wxl6L//kW5MIbBq2eDATJydi15cYr8NLMzMCY342bmA==" saltValue="mFVzCeOoUBB7V0whyly14Q==" spinCount="100000" sheet="1" objects="1" scenarios="1"/>
  <mergeCells count="20">
    <mergeCell ref="C24:J24"/>
    <mergeCell ref="C16:D16"/>
    <mergeCell ref="C17:D17"/>
    <mergeCell ref="C18:D18"/>
    <mergeCell ref="C19:D19"/>
    <mergeCell ref="C21:J21"/>
    <mergeCell ref="C22:J22"/>
    <mergeCell ref="C23:J23"/>
    <mergeCell ref="B2:J2"/>
    <mergeCell ref="L2:O2"/>
    <mergeCell ref="B10:C10"/>
    <mergeCell ref="B12:D12"/>
    <mergeCell ref="B3:C3"/>
    <mergeCell ref="L12:O12"/>
    <mergeCell ref="L13:L17"/>
    <mergeCell ref="M13:N13"/>
    <mergeCell ref="M14:N14"/>
    <mergeCell ref="M15:N15"/>
    <mergeCell ref="M16:N16"/>
    <mergeCell ref="M17:N17"/>
  </mergeCells>
  <pageMargins left="0.7" right="0.7" top="0.75" bottom="0.75" header="0.3" footer="0.3"/>
  <pageSetup paperSize="9" scale="78" orientation="portrait" r:id="rId1"/>
  <colBreaks count="1" manualBreakCount="1">
    <brk id="11"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ورود اطلاعات</vt:lpstr>
      <vt:lpstr>حکم کارگزینی</vt:lpstr>
      <vt:lpstr>فیش حقوقی</vt:lpstr>
      <vt:lpstr>راهنما</vt:lpstr>
      <vt:lpstr>حق شاغل و مالیات</vt:lpstr>
      <vt:lpstr>'حق شاغل و مالیات'!Print_Area</vt:lpstr>
      <vt:lpstr>'فیش حقوقی'!Print_Area</vt:lpstr>
      <vt:lpstr>'ورود اطلاعات'!Print_Area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2018-09-12T13:55:18Z</dcterms:modified>
</cp:coreProperties>
</file>