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workbookProtection workbookAlgorithmName="SHA-512" workbookHashValue="q7B19bCch0xE63cocqO0dAV0Iyt07QrhF4pTuqaJcCmsXj9ql4ob53pjnc+nAhXvGYux/exMKOxBQsugvBF+FA==" workbookSaltValue="3hGkeUGhBp4TjFWBA1MFNw==" workbookSpinCount="100000" lockStructure="1"/>
  <bookViews>
    <workbookView xWindow="0" yWindow="0" windowWidth="20490" windowHeight="8910"/>
  </bookViews>
  <sheets>
    <sheet name="ورود اطلاعات" sheetId="1" r:id="rId1"/>
    <sheet name="حکم کارگزینی" sheetId="4" r:id="rId2"/>
    <sheet name="فیش حقوقی" sheetId="3" state="veryHidden" r:id="rId3"/>
    <sheet name="محاسبات" sheetId="2" state="veryHidden" r:id="rId4"/>
    <sheet name="راهنما" sheetId="6" r:id="rId5"/>
    <sheet name="حق شاغل و مالیات" sheetId="7" state="veryHidden" r:id="rId6"/>
  </sheets>
  <definedNames>
    <definedName name="_xlnm.Print_Area" localSheetId="5">'حق شاغل و مالیات'!$B$1:$O$24</definedName>
    <definedName name="_xlnm.Print_Area" localSheetId="1">'حکم کارگزینی'!$A$1:$H$41</definedName>
    <definedName name="_xlnm.Print_Area" localSheetId="2">'فیش حقوقی'!$A$1:$F$19</definedName>
    <definedName name="_xlnm.Print_Area" localSheetId="0">'ورود اطلاعات'!$A$1:$F$27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3" i="4" l="1"/>
  <c r="G30" i="4"/>
  <c r="G27" i="4"/>
  <c r="C111" i="2" l="1"/>
  <c r="E111" i="2"/>
  <c r="G111" i="2"/>
  <c r="C112" i="2"/>
  <c r="E112" i="2"/>
  <c r="G112" i="2"/>
  <c r="C113" i="2"/>
  <c r="E113" i="2"/>
  <c r="G113" i="2"/>
  <c r="C114" i="2"/>
  <c r="E114" i="2"/>
  <c r="G114" i="2"/>
  <c r="C115" i="2"/>
  <c r="E115" i="2"/>
  <c r="G115" i="2"/>
  <c r="C116" i="2"/>
  <c r="E116" i="2"/>
  <c r="G116" i="2"/>
  <c r="C117" i="2"/>
  <c r="E117" i="2"/>
  <c r="G117" i="2"/>
  <c r="C118" i="2"/>
  <c r="E118" i="2"/>
  <c r="G118" i="2"/>
  <c r="C119" i="2"/>
  <c r="E119" i="2"/>
  <c r="G119" i="2"/>
  <c r="C120" i="2"/>
  <c r="E120" i="2"/>
  <c r="G120" i="2"/>
  <c r="C121" i="2"/>
  <c r="E121" i="2"/>
  <c r="G121" i="2"/>
  <c r="C122" i="2"/>
  <c r="E122" i="2"/>
  <c r="G122" i="2"/>
  <c r="C123" i="2"/>
  <c r="E123" i="2"/>
  <c r="G123" i="2"/>
  <c r="E125" i="2"/>
  <c r="G12" i="4"/>
  <c r="E124" i="2" l="1"/>
  <c r="G124" i="2"/>
  <c r="C124" i="2"/>
  <c r="D62" i="2"/>
  <c r="C62" i="2"/>
  <c r="E53" i="2"/>
  <c r="R4" i="2"/>
  <c r="Q4" i="2"/>
  <c r="E14" i="7"/>
  <c r="F72" i="2"/>
  <c r="F71" i="2"/>
  <c r="E72" i="2"/>
  <c r="E71" i="2"/>
  <c r="E13" i="7" s="1"/>
  <c r="H125" i="2" l="1"/>
  <c r="C129" i="2" s="1"/>
  <c r="B129" i="2"/>
  <c r="F127" i="2"/>
  <c r="E62" i="2"/>
  <c r="E15" i="7"/>
  <c r="G71" i="2"/>
  <c r="H71" i="2" s="1"/>
  <c r="G72" i="2"/>
  <c r="H72" i="2" s="1"/>
  <c r="E16" i="7" s="1"/>
  <c r="C24" i="7" l="1"/>
  <c r="B24" i="7"/>
  <c r="C22" i="7"/>
  <c r="B22" i="7"/>
  <c r="C21" i="7"/>
  <c r="B21" i="7"/>
  <c r="D4" i="7"/>
  <c r="F4" i="7"/>
  <c r="H4" i="7"/>
  <c r="J4" i="7"/>
  <c r="J16" i="7"/>
  <c r="D5" i="7"/>
  <c r="F5" i="7"/>
  <c r="H5" i="7"/>
  <c r="J5" i="7"/>
  <c r="D6" i="7"/>
  <c r="F6" i="7"/>
  <c r="H6" i="7"/>
  <c r="J6" i="7"/>
  <c r="D7" i="7"/>
  <c r="F7" i="7"/>
  <c r="H7" i="7"/>
  <c r="J7" i="7"/>
  <c r="D8" i="7"/>
  <c r="F8" i="7"/>
  <c r="H8" i="7"/>
  <c r="J8" i="7"/>
  <c r="D9" i="7"/>
  <c r="F9" i="7"/>
  <c r="H9" i="7"/>
  <c r="J9" i="7"/>
  <c r="H11" i="7"/>
  <c r="J11" i="7"/>
  <c r="H12" i="7"/>
  <c r="J12" i="7"/>
  <c r="C31" i="6"/>
  <c r="C24" i="6"/>
  <c r="C12" i="6"/>
  <c r="C11" i="6"/>
  <c r="I17" i="7" l="1"/>
  <c r="J17" i="7" s="1"/>
  <c r="J18" i="7" s="1"/>
  <c r="H10" i="7"/>
  <c r="H14" i="7" s="1"/>
  <c r="F10" i="7"/>
  <c r="J10" i="7"/>
  <c r="J14" i="7" s="1"/>
  <c r="D10" i="7"/>
  <c r="D17" i="4"/>
  <c r="I13" i="2"/>
  <c r="I20" i="2"/>
  <c r="J13" i="7" l="1"/>
  <c r="J15" i="7" s="1"/>
  <c r="H13" i="7"/>
  <c r="H15" i="7" s="1"/>
  <c r="E52" i="2"/>
  <c r="D52" i="2"/>
  <c r="E12" i="7" l="1"/>
  <c r="E17" i="7" s="1"/>
  <c r="P22" i="2"/>
  <c r="P21" i="2"/>
  <c r="P20" i="2"/>
  <c r="P19" i="2"/>
  <c r="E87" i="2" l="1"/>
  <c r="E86" i="2"/>
  <c r="E85" i="2"/>
  <c r="E84" i="2"/>
  <c r="E83" i="2"/>
  <c r="E82" i="2"/>
  <c r="D88" i="2" l="1"/>
  <c r="D16" i="4" l="1"/>
  <c r="E16" i="4" s="1"/>
  <c r="G16" i="4" s="1"/>
  <c r="I15" i="2"/>
  <c r="M24" i="2"/>
  <c r="D4" i="4" s="1"/>
  <c r="E9" i="2" l="1"/>
  <c r="D9" i="2"/>
  <c r="E34" i="2" l="1"/>
  <c r="E4" i="3" s="1"/>
  <c r="D74" i="2" s="1"/>
  <c r="O16" i="7" s="1"/>
  <c r="B12" i="3" l="1"/>
  <c r="B11" i="3" l="1"/>
  <c r="E64" i="2"/>
  <c r="D61" i="2"/>
  <c r="D60" i="2"/>
  <c r="C61" i="2"/>
  <c r="C60" i="2"/>
  <c r="E56" i="2"/>
  <c r="E55" i="2"/>
  <c r="E54" i="2"/>
  <c r="D51" i="2"/>
  <c r="E51" i="2" s="1"/>
  <c r="D50" i="2"/>
  <c r="E50" i="2" s="1"/>
  <c r="B9" i="3"/>
  <c r="E47" i="2"/>
  <c r="D43" i="2"/>
  <c r="D44" i="2" s="1"/>
  <c r="E57" i="2" l="1"/>
  <c r="E60" i="2"/>
  <c r="E61" i="2"/>
  <c r="E33" i="2"/>
  <c r="E63" i="2" l="1"/>
  <c r="E65" i="2" s="1"/>
  <c r="B10" i="3" s="1"/>
  <c r="E58" i="2"/>
  <c r="B7" i="3" s="1"/>
  <c r="E27" i="2"/>
  <c r="E35" i="2" s="1"/>
  <c r="B8" i="3" s="1"/>
  <c r="E26" i="2"/>
  <c r="AJ17" i="2" l="1"/>
  <c r="AJ18" i="2"/>
  <c r="AJ19" i="2"/>
  <c r="AJ20" i="2"/>
  <c r="AJ28" i="2" l="1"/>
  <c r="AJ27" i="2"/>
  <c r="AJ26" i="2"/>
  <c r="AJ25" i="2"/>
  <c r="AJ24" i="2"/>
  <c r="AJ23" i="2"/>
  <c r="AJ22" i="2"/>
  <c r="AJ21" i="2"/>
  <c r="AJ29" i="2" l="1"/>
  <c r="B5" i="2"/>
  <c r="B9" i="2" s="1"/>
  <c r="E4" i="2" l="1"/>
  <c r="E5" i="2"/>
  <c r="E14" i="4" s="1"/>
  <c r="G14" i="4" s="1"/>
  <c r="B6" i="3" l="1"/>
  <c r="E4" i="4"/>
  <c r="D13" i="4" l="1"/>
  <c r="E13" i="4" s="1"/>
  <c r="I12" i="2"/>
  <c r="S11" i="2"/>
  <c r="R9" i="2"/>
  <c r="R8" i="2"/>
  <c r="R7" i="2"/>
  <c r="R6" i="2"/>
  <c r="R5" i="2"/>
  <c r="R3" i="2"/>
  <c r="R2" i="2"/>
  <c r="Q9" i="2"/>
  <c r="Q8" i="2"/>
  <c r="Q7" i="2"/>
  <c r="Q6" i="2"/>
  <c r="Q5" i="2"/>
  <c r="Q3" i="2"/>
  <c r="Q2" i="2"/>
  <c r="O9" i="2"/>
  <c r="O8" i="2"/>
  <c r="O7" i="2"/>
  <c r="O6" i="2"/>
  <c r="O5" i="2"/>
  <c r="O4" i="2"/>
  <c r="O3" i="2"/>
  <c r="O2" i="2"/>
  <c r="N9" i="2"/>
  <c r="N8" i="2"/>
  <c r="N7" i="2"/>
  <c r="N5" i="2"/>
  <c r="N6" i="2"/>
  <c r="N4" i="2"/>
  <c r="N3" i="2"/>
  <c r="N2" i="2"/>
  <c r="P9" i="2" l="1"/>
  <c r="P3" i="2"/>
  <c r="S3" i="2"/>
  <c r="S5" i="2"/>
  <c r="S6" i="2"/>
  <c r="S7" i="2"/>
  <c r="S8" i="2"/>
  <c r="S4" i="2"/>
  <c r="P5" i="2"/>
  <c r="S9" i="2"/>
  <c r="S2" i="2"/>
  <c r="P4" i="2"/>
  <c r="P8" i="2"/>
  <c r="P7" i="2"/>
  <c r="P2" i="2"/>
  <c r="P6" i="2"/>
  <c r="E16" i="2"/>
  <c r="F16" i="2" s="1"/>
  <c r="F15" i="2"/>
  <c r="C21" i="2"/>
  <c r="C20" i="2"/>
  <c r="C19" i="2"/>
  <c r="K42" i="2"/>
  <c r="K40" i="2"/>
  <c r="K34" i="2"/>
  <c r="K35" i="2" s="1"/>
  <c r="C22" i="2" l="1"/>
  <c r="D8" i="4" s="1"/>
  <c r="E8" i="4" s="1"/>
  <c r="F17" i="2"/>
  <c r="S10" i="2"/>
  <c r="S13" i="2" s="1"/>
  <c r="D19" i="4" s="1"/>
  <c r="E19" i="4" s="1"/>
  <c r="G19" i="4" s="1"/>
  <c r="P10" i="2"/>
  <c r="P11" i="2" s="1"/>
  <c r="D18" i="4" s="1"/>
  <c r="E18" i="4" s="1"/>
  <c r="G18" i="4" s="1"/>
  <c r="K39" i="2"/>
  <c r="K41" i="2" s="1"/>
  <c r="K38" i="2" s="1"/>
  <c r="D15" i="4" l="1"/>
  <c r="E15" i="4" s="1"/>
  <c r="G15" i="4" s="1"/>
  <c r="I14" i="2"/>
  <c r="M22" i="2"/>
  <c r="M21" i="2"/>
  <c r="M20" i="2"/>
  <c r="M19" i="2"/>
  <c r="M18" i="2"/>
  <c r="M17" i="2"/>
  <c r="M16" i="2"/>
  <c r="M15" i="2"/>
  <c r="M14" i="2"/>
  <c r="M13" i="2"/>
  <c r="M12" i="2"/>
  <c r="M11" i="2"/>
  <c r="M10" i="2"/>
  <c r="M9" i="2"/>
  <c r="M8" i="2"/>
  <c r="M7" i="2"/>
  <c r="M6" i="2"/>
  <c r="M5" i="2"/>
  <c r="M4" i="2"/>
  <c r="M3" i="2"/>
  <c r="M2" i="2"/>
  <c r="M23" i="2" l="1"/>
  <c r="E17" i="4"/>
  <c r="E21" i="4"/>
  <c r="G21" i="4" s="1"/>
  <c r="E7" i="4"/>
  <c r="G7" i="4" s="1"/>
  <c r="E8" i="3"/>
  <c r="E7" i="3"/>
  <c r="E5" i="3"/>
  <c r="N23" i="2" l="1"/>
  <c r="O23" i="2" s="1"/>
  <c r="E31" i="2"/>
  <c r="E30" i="2"/>
  <c r="O22" i="2" l="1"/>
  <c r="R22" i="2" s="1"/>
  <c r="O21" i="2"/>
  <c r="R21" i="2" s="1"/>
  <c r="O20" i="2"/>
  <c r="R20" i="2" s="1"/>
  <c r="O19" i="2"/>
  <c r="R19" i="2" s="1"/>
  <c r="I3" i="2"/>
  <c r="I6" i="2"/>
  <c r="I7" i="2"/>
  <c r="I16" i="2"/>
  <c r="I17" i="2"/>
  <c r="I18" i="2"/>
  <c r="R23" i="2" l="1"/>
  <c r="R25" i="2" s="1"/>
  <c r="R26" i="2" s="1"/>
  <c r="M25" i="2" s="1"/>
  <c r="D3" i="4" l="1"/>
  <c r="E18" i="7" s="1"/>
  <c r="I2" i="2" l="1"/>
  <c r="I19" i="2" s="1"/>
  <c r="E3" i="4"/>
  <c r="C23" i="7" l="1"/>
  <c r="B23" i="7"/>
  <c r="E19" i="7"/>
  <c r="E24" i="2"/>
  <c r="E20" i="4" s="1"/>
  <c r="D5" i="4" l="1"/>
  <c r="I4" i="2" l="1"/>
  <c r="E90" i="2" s="1"/>
  <c r="E92" i="2" s="1"/>
  <c r="I8" i="2" s="1"/>
  <c r="D6" i="4"/>
  <c r="D24" i="4" s="1"/>
  <c r="E5" i="4"/>
  <c r="E6" i="4" s="1"/>
  <c r="E26" i="4" s="1"/>
  <c r="D90" i="2"/>
  <c r="D92" i="2" s="1"/>
  <c r="E11" i="4" l="1"/>
  <c r="I5" i="2"/>
  <c r="I9" i="2" s="1"/>
  <c r="E10" i="4"/>
  <c r="E9" i="4"/>
  <c r="I10" i="2" l="1"/>
  <c r="B23" i="1"/>
  <c r="I21" i="2"/>
  <c r="B24" i="1" l="1"/>
  <c r="B15" i="2"/>
  <c r="B14" i="2"/>
  <c r="E10" i="2"/>
  <c r="E11" i="2" s="1"/>
  <c r="E12" i="2" s="1"/>
  <c r="D10" i="2"/>
  <c r="D11" i="2" s="1"/>
  <c r="D12" i="2" s="1"/>
  <c r="C12" i="2" l="1"/>
  <c r="B16" i="2"/>
  <c r="B17" i="2" s="1"/>
  <c r="B22" i="1" l="1"/>
  <c r="E22" i="4" l="1"/>
  <c r="F17" i="4"/>
  <c r="G17" i="4" s="1"/>
  <c r="F4" i="4"/>
  <c r="G4" i="4" s="1"/>
  <c r="B26" i="2"/>
  <c r="F9" i="4"/>
  <c r="F8" i="4"/>
  <c r="G8" i="4" s="1"/>
  <c r="F13" i="4"/>
  <c r="G13" i="4" s="1"/>
  <c r="F3" i="4"/>
  <c r="F5" i="4"/>
  <c r="G5" i="4" s="1"/>
  <c r="G3" i="4" l="1"/>
  <c r="F6" i="4"/>
  <c r="F24" i="4"/>
  <c r="G20" i="4" l="1"/>
  <c r="G9" i="4"/>
  <c r="D69" i="2" s="1"/>
  <c r="G11" i="4"/>
  <c r="G10" i="4"/>
  <c r="G6" i="4"/>
  <c r="D68" i="2" l="1"/>
  <c r="G23" i="4" s="1"/>
  <c r="D42" i="2"/>
  <c r="D45" i="2" s="1"/>
  <c r="D46" i="2" s="1"/>
  <c r="E27" i="4"/>
  <c r="E28" i="4" s="1"/>
  <c r="B26" i="1"/>
  <c r="B5" i="3" s="1"/>
  <c r="B3" i="3"/>
  <c r="E23" i="4"/>
  <c r="D66" i="2" l="1"/>
  <c r="E24" i="4"/>
  <c r="E30" i="4" s="1"/>
  <c r="D24" i="1"/>
  <c r="D47" i="2"/>
  <c r="E46" i="2"/>
  <c r="E48" i="2" s="1"/>
  <c r="B13" i="3" s="1"/>
  <c r="M10" i="7" l="1"/>
  <c r="E38" i="2"/>
  <c r="B4" i="3"/>
  <c r="B15" i="3" s="1"/>
  <c r="G24" i="4"/>
  <c r="F38" i="2" l="1"/>
  <c r="E39" i="2"/>
  <c r="F39" i="2" s="1"/>
  <c r="F40" i="2" s="1"/>
  <c r="E3" i="3" s="1"/>
  <c r="E31" i="4"/>
  <c r="E32" i="4" s="1"/>
  <c r="E35" i="4" s="1"/>
  <c r="D26" i="1"/>
  <c r="B25" i="1"/>
  <c r="D25" i="1" s="1"/>
  <c r="D75" i="2"/>
  <c r="D73" i="2" l="1"/>
  <c r="O15" i="7"/>
  <c r="O17" i="7" s="1"/>
  <c r="D77" i="2" l="1"/>
  <c r="D76" i="2"/>
  <c r="M4" i="7" l="1"/>
  <c r="E77" i="2"/>
  <c r="F77" i="2" s="1"/>
  <c r="D78" i="2" l="1"/>
  <c r="E78" i="2" s="1"/>
  <c r="F78" i="2" s="1"/>
  <c r="O4" i="7"/>
  <c r="M5" i="7"/>
  <c r="O5" i="7" s="1"/>
  <c r="D79" i="2" l="1"/>
  <c r="E79" i="2" s="1"/>
  <c r="F79" i="2" s="1"/>
  <c r="M6" i="7"/>
  <c r="O6" i="7" s="1"/>
  <c r="D80" i="2" l="1"/>
  <c r="F80" i="2" s="1"/>
  <c r="M7" i="7"/>
  <c r="M8" i="7" l="1"/>
  <c r="O8" i="7" s="1"/>
  <c r="O7" i="7"/>
  <c r="O10" i="7" l="1"/>
  <c r="E6" i="3" s="1"/>
  <c r="E15" i="3" s="1"/>
  <c r="B25" i="2" s="1"/>
  <c r="B16" i="3" s="1"/>
  <c r="M9" i="7"/>
</calcChain>
</file>

<file path=xl/comments1.xml><?xml version="1.0" encoding="utf-8"?>
<comments xmlns="http://schemas.openxmlformats.org/spreadsheetml/2006/main">
  <authors>
    <author>Author</author>
  </authors>
  <commentList>
    <comment ref="E5" authorId="0" shapeId="0">
      <text>
        <r>
          <rPr>
            <b/>
            <sz val="9"/>
            <color indexed="81"/>
            <rFont val="B Nazanin"/>
            <charset val="178"/>
          </rPr>
          <t>تحت پوشش کدام صندوق بازنشستگی هستید؟
جهت احتساب سهم کسور بیمه حقوق کارمند</t>
        </r>
      </text>
    </comment>
    <comment ref="C6" authorId="0" shapeId="0">
      <text>
        <r>
          <rPr>
            <b/>
            <sz val="9"/>
            <color indexed="81"/>
            <rFont val="B Nazanin"/>
            <charset val="178"/>
          </rPr>
          <t>پست های تا سطح کاردانی ۷۰۰ امتیاز
پست های کارشناسی ۱۵۰۰ امتیاز
پست کارشناس مسول یا مدیر ۲۰۰۰ امتیاز</t>
        </r>
      </text>
    </comment>
    <comment ref="A7" authorId="0" shapeId="0">
      <text>
        <r>
          <rPr>
            <b/>
            <sz val="9"/>
            <color indexed="81"/>
            <rFont val="B Nazanin"/>
            <charset val="178"/>
          </rPr>
          <t>متاهل بدون محاسبه : مرد یا زنی که به علت متارکه یا فوت همسر به تنهایی سرپرستی فرزندان را عهده دار است
معیل : زنی که متارکه کرده یا به علت  فوت یا معلولیت و از کار افتادگی همسر، سرپرستی فرزندان را عهده دار است.</t>
        </r>
      </text>
    </comment>
    <comment ref="E7" authorId="0" shapeId="0">
      <text>
        <r>
          <rPr>
            <b/>
            <sz val="9"/>
            <color indexed="81"/>
            <rFont val="B Nazanin"/>
            <charset val="178"/>
          </rPr>
          <t>غیر از خودتان چه تعداد از افراد تحت تکفلتان را تحت پوشش بیمه تکمیلی قرار داده اید؟</t>
        </r>
      </text>
    </comment>
    <comment ref="C8" authorId="0" shapeId="0">
      <text>
        <r>
          <rPr>
            <b/>
            <sz val="9"/>
            <color indexed="81"/>
            <rFont val="B Nazanin"/>
            <charset val="178"/>
          </rPr>
          <t xml:space="preserve">در صورتی که درصد فوق العاده ویژه خود را نمی دانید، لطفا به کاربرگ راهنما مراجعه نموده و اطلاعات خواسته شده را وارد نمایید.
</t>
        </r>
      </text>
    </comment>
    <comment ref="E8" authorId="0" shapeId="0">
      <text>
        <r>
          <rPr>
            <b/>
            <sz val="9"/>
            <color indexed="81"/>
            <rFont val="B Nazanin"/>
            <charset val="178"/>
          </rPr>
          <t>در سازمان شما بابت بیمه تکمیلی چه مبلغی از هر فرد کسر می گردد؟</t>
        </r>
      </text>
    </comment>
    <comment ref="A9" authorId="0" shapeId="0">
      <text>
        <r>
          <rPr>
            <b/>
            <sz val="9"/>
            <color indexed="81"/>
            <rFont val="B Nazanin"/>
            <charset val="178"/>
          </rPr>
          <t>مطابق با ماده ۲۸ قانون جامع خدمات رسانی به ایثارگران : فرزندان شاهد، جانبازان و آزادگان از حقوق و مزایای یک مقطع تحصیلی بالاتر بهره مند خواهند شد.
؛برای مشمولین یک مقطع تحصیلی بالاتر اعمال گردد.</t>
        </r>
      </text>
    </comment>
    <comment ref="E9" authorId="0" shapeId="0">
      <text>
        <r>
          <rPr>
            <b/>
            <sz val="9"/>
            <color indexed="81"/>
            <rFont val="B Nazanin"/>
            <charset val="178"/>
          </rPr>
          <t>سازمان شما بابت بیمه تکمیلی کارکنان، چه مبلغی از پرداختی هر فرد را به وی برمیگرداند؟</t>
        </r>
      </text>
    </comment>
    <comment ref="A10" authorId="0" shapeId="0">
      <text>
        <r>
          <rPr>
            <sz val="9"/>
            <color indexed="81"/>
            <rFont val="B Nazanin"/>
            <charset val="178"/>
          </rPr>
          <t>تا 1397/01/01 
حداکثر 30 سال تمام</t>
        </r>
      </text>
    </comment>
    <comment ref="E10" authorId="0" shapeId="0">
      <text>
        <r>
          <rPr>
            <b/>
            <sz val="9"/>
            <color indexed="81"/>
            <rFont val="B Nazanin"/>
            <charset val="178"/>
          </rPr>
          <t>در سازمان شما برای هر کارمند، تا چند نفر از افراد تحت تکفل بیمه (تکمیلی)، مشمول یارانه سهم سازمان می شوند؟
( بیمه شده اصلی + افراد تحت تکفل)</t>
        </r>
      </text>
    </comment>
    <comment ref="E11" authorId="0" shapeId="0">
      <text>
        <r>
          <rPr>
            <b/>
            <sz val="9"/>
            <color indexed="81"/>
            <rFont val="B Nazanin"/>
            <charset val="178"/>
          </rPr>
          <t>طبق ماده 56 قانون جامع ایثارگران :
۱۰۰٪ حقوق و فوق العاده شغل و سایر فوق العاده ها اعم از مستمر و غیر مستمر فرزندان شاهد، جانبازان (بالای ۲۵٪)  آزادگان و رزمندگان بالای ۱۲ ماه سابقه رزمندگی از پرداخت مالیات معاف میباشند.</t>
        </r>
      </text>
    </comment>
    <comment ref="A12" authorId="0" shapeId="0">
      <text>
        <r>
          <rPr>
            <sz val="9"/>
            <color indexed="81"/>
            <rFont val="B Nazanin"/>
            <charset val="178"/>
          </rPr>
          <t>تا 1397/01/01
حداکثر 30 سال</t>
        </r>
      </text>
    </comment>
    <comment ref="C12" authorId="0" shapeId="0">
      <text>
        <r>
          <rPr>
            <b/>
            <sz val="9"/>
            <color indexed="81"/>
            <rFont val="B Nazanin"/>
            <charset val="178"/>
          </rPr>
          <t>کارکنانی که در دوران جنگ تحمیلی در این مناطق (خطي كه از اروند كنار آغاز و پس از گذشتن از آبادان‌، خرمشهر، بستان‌، موسيان‌، دهلران‌، مهران‌، صالح آباد، سومار، گيلان غرب‌،سرپل ذهاب‌، قصرشيرين‌، نوسود، سردشت‌، پيرانشهر به سه راهي نقطه مرزي سه كشور ايران عراق و تركيه ختم مي‌شود) و كليه نقاط در اين خط و بخشهاي مربوط به آن‌ اشتغال داشته اند.
حداکثر ۷ سال و ۱۱ ماه</t>
        </r>
      </text>
    </comment>
    <comment ref="E12" authorId="0" shapeId="0">
      <text>
        <r>
          <rPr>
            <b/>
            <sz val="9"/>
            <color indexed="81"/>
            <rFont val="B Nazanin"/>
            <charset val="178"/>
          </rPr>
          <t>طبق ماده9۱ قانون جامع ایثارگران:
اسرا، آزادگان و جانبازان شاغل و حالت اشتغال، فرزندان شاهد و همچنین رزمندگان بالای ۲۴ ماه حضور در جبهه از پرداخت کسور بازنشستگی معاف می باشند.</t>
        </r>
      </text>
    </comment>
    <comment ref="E13" authorId="0" shapeId="0">
      <text>
        <r>
          <rPr>
            <b/>
            <sz val="9"/>
            <color indexed="81"/>
            <rFont val="B Nazanin"/>
            <charset val="178"/>
          </rPr>
          <t>معمولا چند ساعت اضافه کار در ماه به شما تعلق می گیرد
کارمندان تا سقف ۱۲۰ ساعت
مدیران تا سقف ۱۷۵ ساعت</t>
        </r>
      </text>
    </comment>
    <comment ref="E14" authorId="0" shapeId="0">
      <text>
        <r>
          <rPr>
            <b/>
            <sz val="9"/>
            <color indexed="81"/>
            <rFont val="B Nazanin"/>
            <charset val="178"/>
          </rPr>
          <t xml:space="preserve">طبق ماده 13 ضوابط اجرایی قانون بودجه سال 139۷ کل کشور، فوق العاده ماموریت به کارمندانی که به عنوان مامور برای انجام وظیفه به خارج از حوزه شهرستان محل خدمت خود اعزام می شوند به شرح ذیل پرداخت می شود.
-  تا میزان حداقل حقوق و مزایا (11،230،000 ریال) به ماخذ یک بیستم و نسبت به مازاد به ماخذ یک پنجاهم
- در صورت عدم توقف شبانه، تنها پنجاه درصد از میزان مندرج در بند یاد شده قابل پرداخت می باشد.
</t>
        </r>
      </text>
    </comment>
    <comment ref="C15" authorId="0" shapeId="0">
      <text>
        <r>
          <rPr>
            <b/>
            <sz val="9"/>
            <color indexed="81"/>
            <rFont val="B Nazanin"/>
            <charset val="178"/>
          </rPr>
          <t>فرزند شهید
جانباز بالای 25%
آزاده</t>
        </r>
      </text>
    </comment>
    <comment ref="A16" authorId="0" shapeId="0">
      <text>
        <r>
          <rPr>
            <b/>
            <sz val="9"/>
            <color indexed="81"/>
            <rFont val="B Nazanin"/>
            <charset val="178"/>
          </rPr>
          <t>حداکثر 10 سال
کارشناس مسئول یا رئیس اداره
برای کارکنان فرهنگی سوابق معاونت یا مدیریت مدرسه</t>
        </r>
      </text>
    </comment>
    <comment ref="C16" authorId="0" shapeId="0">
      <text>
        <r>
          <rPr>
            <b/>
            <sz val="9"/>
            <color indexed="81"/>
            <rFont val="B Nazanin"/>
            <charset val="178"/>
          </rPr>
          <t>جهت محاسبه درصد به کاربرگ راهنما مراجعه نمایید</t>
        </r>
      </text>
    </comment>
    <comment ref="E16" authorId="0" shapeId="0">
      <text>
        <r>
          <rPr>
            <b/>
            <sz val="9"/>
            <color indexed="81"/>
            <rFont val="B Nazanin"/>
            <charset val="178"/>
          </rPr>
          <t>طبق ماده 14 ضوابط اجرایی قانون بودجه سال 139۷ کل کشور، پرداخت کمک هزینه تلفن همراه تا ۳۰۰ هزار ریال در ماه به مدیران و کارمندانی که بنا به شرایط خاص باید به طور مستمر در دسترس باشند، به تشخیص رییس دستگاه اجرایی یا مقام مجاز از طرف وی مجاز است.</t>
        </r>
      </text>
    </comment>
    <comment ref="A17" authorId="0" shapeId="0">
      <text>
        <r>
          <rPr>
            <b/>
            <sz val="9"/>
            <color indexed="81"/>
            <rFont val="B Nazanin"/>
            <charset val="178"/>
          </rPr>
          <t>حداکثر 10 سال
معاون مدیرکل،
مدیر کل،
معاون سازمان
رئیس دستگاه</t>
        </r>
      </text>
    </comment>
    <comment ref="C17" authorId="0" shapeId="0">
      <text>
        <r>
          <rPr>
            <b/>
            <sz val="9"/>
            <color indexed="81"/>
            <rFont val="B Nazanin"/>
            <charset val="178"/>
          </rPr>
          <t>جهت محاسبه درصد به کاربرگ راهنما مراجعه نمایید</t>
        </r>
      </text>
    </comment>
    <comment ref="A18" authorId="0" shapeId="0">
      <text>
        <r>
          <rPr>
            <b/>
            <sz val="9"/>
            <color indexed="81"/>
            <rFont val="B Nazanin"/>
            <charset val="178"/>
          </rPr>
          <t>تا سقف  1000 ساعت
قابل احتساب در حق شاغل
هر ساعت ۰.۵ امتیاز</t>
        </r>
      </text>
    </comment>
    <comment ref="C18" authorId="0" shapeId="0">
      <text>
        <r>
          <rPr>
            <b/>
            <sz val="9"/>
            <color indexed="81"/>
            <rFont val="B Nazanin"/>
            <charset val="178"/>
          </rPr>
          <t>جهت محاسبه درصد به کاربرگ راهنما مراجعه فرمایید.</t>
        </r>
      </text>
    </comment>
    <comment ref="C19" authorId="0" shapeId="0">
      <text>
        <r>
          <rPr>
            <b/>
            <sz val="9"/>
            <color indexed="81"/>
            <rFont val="B Nazanin"/>
            <charset val="178"/>
          </rPr>
          <t xml:space="preserve">مديريت سياسي یا مقام :
 1- رؤساي سه قوه 
 2- معاون اول رئيس جمهور، نواب رئيس مجلس شوراي اسلامي و اعضا شوراي نگهبان 
 3- وزرا نمايندگان مجلس شوراي اسلامي و معاونين رئيس جمهور
4- استانداران و سفرا 
 5ـ - معاونين وزرا </t>
        </r>
      </text>
    </comment>
    <comment ref="C20" authorId="0" shapeId="0">
      <text>
        <r>
          <rPr>
            <b/>
            <sz val="9"/>
            <color indexed="81"/>
            <rFont val="B Nazanin"/>
            <charset val="178"/>
          </rPr>
          <t>اگر مقام سیاسی باشد
یکی از موارد را
انتخاب فرمایید.</t>
        </r>
      </text>
    </comment>
    <comment ref="E24" authorId="0" shapeId="0">
      <text>
        <r>
          <rPr>
            <b/>
            <sz val="9"/>
            <color indexed="81"/>
            <rFont val="B Nazanin"/>
            <charset val="178"/>
          </rPr>
          <t>هر ماه چه مبلغی (ریال) از شما بابت اقساط وام دریافتی از صندوق اعتباری سازمان کسر می گردد؟</t>
        </r>
      </text>
    </comment>
  </commentList>
</comments>
</file>

<file path=xl/sharedStrings.xml><?xml version="1.0" encoding="utf-8"?>
<sst xmlns="http://schemas.openxmlformats.org/spreadsheetml/2006/main" count="484" uniqueCount="387">
  <si>
    <t>حقوق ثابت و فوق العاده ها</t>
  </si>
  <si>
    <t>امتیاز</t>
  </si>
  <si>
    <t>مبلغ سال ۹۶ (ریال)</t>
  </si>
  <si>
    <t>ضریب سال ۹۶</t>
  </si>
  <si>
    <t>حداقل حقوق ۹۶</t>
  </si>
  <si>
    <t>ضرایب ثابت</t>
  </si>
  <si>
    <t>حق شغل</t>
  </si>
  <si>
    <t>فوق العاده مدیریت</t>
  </si>
  <si>
    <t>حق شاغل</t>
  </si>
  <si>
    <t>جمع</t>
  </si>
  <si>
    <t>تفاوت تطبیق</t>
  </si>
  <si>
    <t>فوق العاده شغل</t>
  </si>
  <si>
    <t>فوق العاده ویژه</t>
  </si>
  <si>
    <t>فوق العاده مناطق کمتر توسعه یافته</t>
  </si>
  <si>
    <t>فوق العاده بدی آب و هوا</t>
  </si>
  <si>
    <t>فوق العاده مناطق مرزی</t>
  </si>
  <si>
    <t>فوق العاده ایثارگری</t>
  </si>
  <si>
    <t>فوق العاده ایثارگری قانون جامع</t>
  </si>
  <si>
    <t>خدمت در مناطق جنگی</t>
  </si>
  <si>
    <t>فوق العاده سختی شرایط محیط کار</t>
  </si>
  <si>
    <t>حق اولاد</t>
  </si>
  <si>
    <t>فوق العاده نوبت کاری</t>
  </si>
  <si>
    <t>سایر</t>
  </si>
  <si>
    <t>تفاوت تطبیق (ریال)</t>
  </si>
  <si>
    <t>سایر (ریال)</t>
  </si>
  <si>
    <t>درصد ضریب تعدیل (سال ۹۷)</t>
  </si>
  <si>
    <t>نرخ هر ساعت اضافه کاری (ریال)</t>
  </si>
  <si>
    <t>مجموع افزایش حقوق در سال ۹۷</t>
  </si>
  <si>
    <t>درصد کلی افزایش حقوق سال ۹۷</t>
  </si>
  <si>
    <t>اضافه کاری (ساعت)</t>
  </si>
  <si>
    <t>رفاهی کارکنان (ریال)</t>
  </si>
  <si>
    <t>بلی</t>
  </si>
  <si>
    <t>خیر</t>
  </si>
  <si>
    <t>مشمول قانون جامع ایثارگری</t>
  </si>
  <si>
    <t>تحت پوشش بیمه تکمیلی هستید</t>
  </si>
  <si>
    <t>تعداد بیمه تکمیلی تبعی</t>
  </si>
  <si>
    <t>پس انداز ماهیانه صندوق اعتباری (ریال)</t>
  </si>
  <si>
    <t>اقساط ماهیانه صندوق اعتباری (ریال)</t>
  </si>
  <si>
    <t>شرح دریافتی</t>
  </si>
  <si>
    <t>مبلغ (ریال)</t>
  </si>
  <si>
    <t>شرح کسور</t>
  </si>
  <si>
    <t>فوق العاده های مستمر و غیر مستمر</t>
  </si>
  <si>
    <t>ایاب و ذهاب و غذا</t>
  </si>
  <si>
    <t>کمک رفاهی بیمه تکمیلی</t>
  </si>
  <si>
    <t>بیمه حقوق</t>
  </si>
  <si>
    <t>تکمیلی تبعی یک و دو</t>
  </si>
  <si>
    <t>پس انداز سهم کارمند</t>
  </si>
  <si>
    <t>صندوق اعتباری (پس انداز)</t>
  </si>
  <si>
    <t>صندوق اعتباری (اقساط تسهیلات)</t>
  </si>
  <si>
    <t>جمع دریافتی</t>
  </si>
  <si>
    <t>مالیات</t>
  </si>
  <si>
    <t>جمع کسور</t>
  </si>
  <si>
    <t>اجاره مسکن خانه سازمانی</t>
  </si>
  <si>
    <t>شارژ خانه سازمانی</t>
  </si>
  <si>
    <t>جمع دریافتی مشمول مالیات</t>
  </si>
  <si>
    <t>فیش حقوق و دستمزد</t>
  </si>
  <si>
    <t>بیمه تکمیلی</t>
  </si>
  <si>
    <t>یارانه</t>
  </si>
  <si>
    <t>جمع بیمه تکمیلی</t>
  </si>
  <si>
    <t>اگر بیمه باشد</t>
  </si>
  <si>
    <t>اگر نباشد</t>
  </si>
  <si>
    <t>اگر تعداد زیاد شد</t>
  </si>
  <si>
    <t>حقوق ثابت (شغل، شاغل، مدیریت)</t>
  </si>
  <si>
    <t>جمع آخرین حکم کارگزینی سال 96</t>
  </si>
  <si>
    <t>حق عائله مندی</t>
  </si>
  <si>
    <t>حقوق و مزایای مستمر سال 97 (ریال)</t>
  </si>
  <si>
    <t>ارشد</t>
  </si>
  <si>
    <t>خبره</t>
  </si>
  <si>
    <t>طبقه شغلی</t>
  </si>
  <si>
    <t>مقدماتی</t>
  </si>
  <si>
    <t>پایه</t>
  </si>
  <si>
    <t>عالی</t>
  </si>
  <si>
    <t>جنسیت</t>
  </si>
  <si>
    <t xml:space="preserve">طبقه </t>
  </si>
  <si>
    <t>مرد</t>
  </si>
  <si>
    <t>زن</t>
  </si>
  <si>
    <t>وضعیت تاهل</t>
  </si>
  <si>
    <t>متاهل</t>
  </si>
  <si>
    <t>مجرد</t>
  </si>
  <si>
    <t>متاهل بدون محاسبه</t>
  </si>
  <si>
    <t>مرد یا زن</t>
  </si>
  <si>
    <t>امتیاز عایله مندی</t>
  </si>
  <si>
    <t>ضریب عایله مندی</t>
  </si>
  <si>
    <t>تعداد فرزندان</t>
  </si>
  <si>
    <t>ضریب اولاد</t>
  </si>
  <si>
    <t>امتیاز اولاد</t>
  </si>
  <si>
    <t>اولاد محاسبه شود یا خیر</t>
  </si>
  <si>
    <t>تعداد فرزند قابل محاسبه</t>
  </si>
  <si>
    <t xml:space="preserve">تعداد فرزند </t>
  </si>
  <si>
    <t>متاهل بدون محاسبه زن</t>
  </si>
  <si>
    <t>فوق العاده مشاغل تخصصی</t>
  </si>
  <si>
    <t>تا سطح کاردانی</t>
  </si>
  <si>
    <t>کارشناسی</t>
  </si>
  <si>
    <t>مدیریتی</t>
  </si>
  <si>
    <t>امتیاز فوق العاده شغل</t>
  </si>
  <si>
    <t>فوق العاده سختی شرایط محیط کار (امتیاز)</t>
  </si>
  <si>
    <t>خدمت اداری در مناطق جنگ زده (سال)</t>
  </si>
  <si>
    <t>خدمت اداری در مناطق جنگ زده (ماه)</t>
  </si>
  <si>
    <t>خدمت منطقه جنگی سال</t>
  </si>
  <si>
    <t>خدمت منطقه جنگی ماه</t>
  </si>
  <si>
    <t>امتیاز مناطق جنگی</t>
  </si>
  <si>
    <t>معیل</t>
  </si>
  <si>
    <t>زن مرد</t>
  </si>
  <si>
    <t>وضعیت</t>
  </si>
  <si>
    <t>نتیجه</t>
  </si>
  <si>
    <t>تعداد اولاد</t>
  </si>
  <si>
    <t>امتیاز هر اولاد</t>
  </si>
  <si>
    <t>جمع امتیاز اولاد</t>
  </si>
  <si>
    <t>تحصیلات</t>
  </si>
  <si>
    <t>مهارت</t>
  </si>
  <si>
    <t>سنوات</t>
  </si>
  <si>
    <t>تجربه</t>
  </si>
  <si>
    <t>زیر دیپلم</t>
  </si>
  <si>
    <t>دیپلم</t>
  </si>
  <si>
    <t>فوق دیپلم</t>
  </si>
  <si>
    <t>لیسانس</t>
  </si>
  <si>
    <t>فوق لیسانس</t>
  </si>
  <si>
    <t>دکتری</t>
  </si>
  <si>
    <t>مدرک تحصیلی</t>
  </si>
  <si>
    <t>سال</t>
  </si>
  <si>
    <t>ماه</t>
  </si>
  <si>
    <t>جمع حق شاغل</t>
  </si>
  <si>
    <t>ضریب ثابت</t>
  </si>
  <si>
    <t>سرپرستی</t>
  </si>
  <si>
    <t>سقف سرپرستی</t>
  </si>
  <si>
    <t>جمع سرپرستی و مدیریت</t>
  </si>
  <si>
    <t>امتیاز فوق العاده مدیریت</t>
  </si>
  <si>
    <t>امتیاز نهایی حق شاغل</t>
  </si>
  <si>
    <t>رفاهیات (ریال)</t>
  </si>
  <si>
    <t>درصد جانبازي</t>
  </si>
  <si>
    <t>مدت اسارت</t>
  </si>
  <si>
    <t>مدت خدمت داوطلبانه در جبهه</t>
  </si>
  <si>
    <t> ۵ درصد</t>
  </si>
  <si>
    <t>۳ تا ۶ ماه</t>
  </si>
  <si>
    <t>تا ۱۰ درصد</t>
  </si>
  <si>
    <t>تا ۱۲ ماه</t>
  </si>
  <si>
    <t>تا ۱۵ درصد</t>
  </si>
  <si>
    <t>تا ۱۸ ماه</t>
  </si>
  <si>
    <t>تا ۲۰ درصد</t>
  </si>
  <si>
    <t>تا ۲۴ ماه</t>
  </si>
  <si>
    <t>تا ۲۵ درصد</t>
  </si>
  <si>
    <t>تا ۳۰ ماه</t>
  </si>
  <si>
    <t>تا ۳۰ درصد</t>
  </si>
  <si>
    <t>تا ۳۶ ماه</t>
  </si>
  <si>
    <t>تا ۳۵ درصد</t>
  </si>
  <si>
    <t>تا ۴۲ ماه</t>
  </si>
  <si>
    <t>تا ۴۰ درصد</t>
  </si>
  <si>
    <t>تا ۴۸ ماه</t>
  </si>
  <si>
    <t>تا ۴۵ درصد</t>
  </si>
  <si>
    <t>تا ۵۴ ماه</t>
  </si>
  <si>
    <t>تا ۵۰ درصد</t>
  </si>
  <si>
    <t>تا ۶۰ ماه</t>
  </si>
  <si>
    <t>تا ۶۰ درصد</t>
  </si>
  <si>
    <t>تا ۷۰ ماه</t>
  </si>
  <si>
    <t>بالاتر از ۶۰ درصد</t>
  </si>
  <si>
    <t>بالاتر از ۷۰ ماه</t>
  </si>
  <si>
    <t>فرزند شهید</t>
  </si>
  <si>
    <t>آزاده</t>
  </si>
  <si>
    <t>قانون جامع ایثارگری</t>
  </si>
  <si>
    <t>فوق العاده شغل (سطح تخصص شغل)</t>
  </si>
  <si>
    <t>سنوات خدمت (سال)</t>
  </si>
  <si>
    <t>سنوات خدمت (ماه)</t>
  </si>
  <si>
    <t>تجربه مربوط و مشابه (سال)</t>
  </si>
  <si>
    <t>تجربه مربوط و مشابه (ماه)</t>
  </si>
  <si>
    <t>رتبه شغلی</t>
  </si>
  <si>
    <t>دوره های آموزشی ( ساعت)</t>
  </si>
  <si>
    <t>سنوات مشاغل سرپرستی (سال)</t>
  </si>
  <si>
    <t>سنوات مشاغل مدیریتی (سال)</t>
  </si>
  <si>
    <t>فوق العاده ویژه (درصد)</t>
  </si>
  <si>
    <t>مشمول فوق العاده نوبت کاری (درصد)</t>
  </si>
  <si>
    <t>حداقل حقوق ۹۷</t>
  </si>
  <si>
    <t>ضریب سال 97</t>
  </si>
  <si>
    <t>ضریب سال اعمالی</t>
  </si>
  <si>
    <t>مقام سیاسی (مقامات ماده 71)</t>
  </si>
  <si>
    <t>پست سیاسی</t>
  </si>
  <si>
    <t>معاون اول رئیس جمهور</t>
  </si>
  <si>
    <t>نایب رئیس مجلس</t>
  </si>
  <si>
    <t>عضو شورای نگهبان</t>
  </si>
  <si>
    <t>وزیر</t>
  </si>
  <si>
    <t>نماینده مجلس</t>
  </si>
  <si>
    <t>استاندار</t>
  </si>
  <si>
    <t>سفیر</t>
  </si>
  <si>
    <t>معاون وزیر</t>
  </si>
  <si>
    <t>حق شغل مقام سیاسی</t>
  </si>
  <si>
    <t>امتیاز عائله مندی</t>
  </si>
  <si>
    <t>حق شغل اعمالی در حکم</t>
  </si>
  <si>
    <t>مبلغ ریالی ضریب تعدیل</t>
  </si>
  <si>
    <t>تهیه و تنظیم : صیاح الدین شهدی</t>
  </si>
  <si>
    <t>کارشناس کارگزینی سازمان هواشناسی کشور</t>
  </si>
  <si>
    <t>ZhowanMarket@gmail.com</t>
  </si>
  <si>
    <t>جمع حقوق و مزایای مستمر و غیر مستمر سال ۹۷</t>
  </si>
  <si>
    <t>رئیس قوه قضائیه</t>
  </si>
  <si>
    <t>رئیس مجلس</t>
  </si>
  <si>
    <t>رئیس جمهور</t>
  </si>
  <si>
    <t>ضریب عائله مندی</t>
  </si>
  <si>
    <t>جانباز 25% و بالاتر</t>
  </si>
  <si>
    <t>پس انداز سهم کارمند ۱۵۰ ضربدر ضریب سال</t>
  </si>
  <si>
    <t>بیمه تکمیلی هر فرد (ریال)</t>
  </si>
  <si>
    <t>یارانه بیمه تکمیلی هر فرد (ریال)</t>
  </si>
  <si>
    <t>تعداد شمول یارانه بیمه تکمیلی</t>
  </si>
  <si>
    <t xml:space="preserve">شرح میزان حقوق </t>
  </si>
  <si>
    <t>مساوی یا کمتر از میزان معافیت</t>
  </si>
  <si>
    <t>تا 3 برابر مازاد معافیت</t>
  </si>
  <si>
    <t>تا 4 برابر مازاد معافیت</t>
  </si>
  <si>
    <t>تا 6 برابر مازاد معافیت</t>
  </si>
  <si>
    <t>بیشتر از 6 برابر مازاد معافیت</t>
  </si>
  <si>
    <t>مبلغ حقوق</t>
  </si>
  <si>
    <t>نرخ مالیات</t>
  </si>
  <si>
    <t>مبلغ مالیات</t>
  </si>
  <si>
    <t>مالیات پرداختی</t>
  </si>
  <si>
    <t>تامین اجتماعی</t>
  </si>
  <si>
    <t>بازنشستگی کشوری</t>
  </si>
  <si>
    <t>مبلغ حق بیمه</t>
  </si>
  <si>
    <t>معاف از پرداخت مالیات</t>
  </si>
  <si>
    <t>معاف از پرداخت کسور بازنشستگی</t>
  </si>
  <si>
    <t>مناطق کمتر توسعه یافته (درصد)</t>
  </si>
  <si>
    <t>بدی آب و هوا (درصد)</t>
  </si>
  <si>
    <t>حقوق و مزایای مستمر حکم ۹۷</t>
  </si>
  <si>
    <t>یک ۲۰ م حداقل حقوق</t>
  </si>
  <si>
    <t>یک ۵۰م تفاضل حقوق مستمر و حداقل حقوق</t>
  </si>
  <si>
    <t>ماموریت (روز)</t>
  </si>
  <si>
    <t>نوع ماموریت</t>
  </si>
  <si>
    <t>شبانه روزی</t>
  </si>
  <si>
    <t>روزانه</t>
  </si>
  <si>
    <t>مبلغ ماموریت روزانه در فیش حقوقی</t>
  </si>
  <si>
    <t>کمک رفاهی دوم</t>
  </si>
  <si>
    <t>کارانه (ریال)</t>
  </si>
  <si>
    <t>کمک رفاهی دوم (ریال)</t>
  </si>
  <si>
    <t>کمک هزینه تلفن همراه</t>
  </si>
  <si>
    <t>--</t>
  </si>
  <si>
    <t>کمک هزینه ایاب و ذهاب</t>
  </si>
  <si>
    <t>شهرهای کمتر از ۵۰۰ هزار نفر</t>
  </si>
  <si>
    <t>شهرهای بیش از ۵۰۰ هزار نفر</t>
  </si>
  <si>
    <t>تهران</t>
  </si>
  <si>
    <t xml:space="preserve">کمک هزینه غذا </t>
  </si>
  <si>
    <t>کمک هزینه ایاب و ذهاب و غذا در فیش حقوقی</t>
  </si>
  <si>
    <t xml:space="preserve"> ایاب و ذهاب (محل کار)</t>
  </si>
  <si>
    <t>تعداد فرزند زیر ۶ سال</t>
  </si>
  <si>
    <t>کمک هزینه مهد کودک</t>
  </si>
  <si>
    <t>آیا شامل کمک هزینه مهد کودک می شود؟</t>
  </si>
  <si>
    <t>کارانه</t>
  </si>
  <si>
    <t>صندوق  بازنشستگی</t>
  </si>
  <si>
    <t>جمع واریزی فیش</t>
  </si>
  <si>
    <t>کمک هزینه ماموریت (یک شبانه روز)</t>
  </si>
  <si>
    <t>تعداد فرزندان زیر ۶  سال</t>
  </si>
  <si>
    <t>https://shenasname.ir/</t>
  </si>
  <si>
    <t>جمع حقوق و مزایای واریزی (ریال)</t>
  </si>
  <si>
    <t>ماموریت</t>
  </si>
  <si>
    <t>مابه التفاوت حداقل حقوق 97</t>
  </si>
  <si>
    <t>مبلغ قابل پرداخت بیمه تکمیلی</t>
  </si>
  <si>
    <t>مبلغ یارانه بیمه تکمیلی</t>
  </si>
  <si>
    <t>فوق العاده اضافه کاری</t>
  </si>
  <si>
    <t>مقام باشد نباشد</t>
  </si>
  <si>
    <t>اگر بالای 5 میلیون باشد نباشد</t>
  </si>
  <si>
    <t>آموزگار یا دبیر آموزش و پرورش</t>
  </si>
  <si>
    <t>رتبه بندی فرهنگیان</t>
  </si>
  <si>
    <t>دارنده نشان های دولتی</t>
  </si>
  <si>
    <t>تخصصي  و عمومي درجه 1</t>
  </si>
  <si>
    <t>تخصصي و عمومي درجه 2</t>
  </si>
  <si>
    <t>تخصصي و عمومي درجه 3</t>
  </si>
  <si>
    <t>بیش از یک نشان دولتی</t>
  </si>
  <si>
    <t>امتیاز فوق العاده دارندگان نشان های دولتی</t>
  </si>
  <si>
    <t>فوف العاده نشان های دولتی</t>
  </si>
  <si>
    <t>فرهنگیان</t>
  </si>
  <si>
    <t>فوق العاده ویژه قابل قبول</t>
  </si>
  <si>
    <t>حق شغل فرهنگیان</t>
  </si>
  <si>
    <t>حق شغل کارمند</t>
  </si>
  <si>
    <t>معلم یا کارمند</t>
  </si>
  <si>
    <t>مقام یا غیر</t>
  </si>
  <si>
    <t>مقامات سیاسی (ماده ۷۱ قانون)</t>
  </si>
  <si>
    <t>سایر کارمندان یا مدیران</t>
  </si>
  <si>
    <t>گروه یک : آموزگارن ، دبیران ، معاونان یا مدیران مدارس (کارمندان مشمول رتبه بندی فرهنگیان)</t>
  </si>
  <si>
    <t>گروه دو : مقامات سیاسی : روسای قوا، معاون اول رییس جمهور، روسای دستگاه های اجرایی، وزیران، سفرا، استانداران، نمایندگان مجلس</t>
  </si>
  <si>
    <t>گروه سه : سایر کارمندان و مدیران دولت (کارمندان واحد ستادی آموزش و پرورش، کارشناسان، رییس ادارات، مدیران و سایرکارکنان دولت)</t>
  </si>
  <si>
    <t>حق شغل (ریال)</t>
  </si>
  <si>
    <t>فوق العاده مدیریت (ریال)</t>
  </si>
  <si>
    <t>حق شاغل (ریال)</t>
  </si>
  <si>
    <t>فوق العاده مناطق کمتر توسعه یافته (ریال)</t>
  </si>
  <si>
    <t>فوق العاده بدی آب و هوا (ریال)</t>
  </si>
  <si>
    <t>درصد فوق لعاده مناطق کمتر توسعه یافته</t>
  </si>
  <si>
    <t>درصد فوق العاده بدی آب و هوا</t>
  </si>
  <si>
    <t>نحوه محاسبه درصد فوق العاده مناطق کمتر توسعه یافته و بدی آب و هوا</t>
  </si>
  <si>
    <t>فوق العاده شغل (ریال)</t>
  </si>
  <si>
    <t>فوق العاده ایثارگری (ریال)</t>
  </si>
  <si>
    <t>فوق العاده ویژه (ریال)</t>
  </si>
  <si>
    <t>درصد فوق العاده ویژه</t>
  </si>
  <si>
    <t>نحوه محاسبه درصد فوق العاده ویژه</t>
  </si>
  <si>
    <t>امتیاز سنوات</t>
  </si>
  <si>
    <t>امتیاز تجربه</t>
  </si>
  <si>
    <t>امتیاز تحصیلات</t>
  </si>
  <si>
    <t>امتیاز مهارت</t>
  </si>
  <si>
    <t>نحوه محاسبه درصد فوق العاده نوبت کاری</t>
  </si>
  <si>
    <t>فوق العاده نوبت کاری (ریال)</t>
  </si>
  <si>
    <t>قابل توجه</t>
  </si>
  <si>
    <t>چون امتیاز حق شاغل شما بیش از ۷۵٪ حق شغلتان است، سیستم بصورت خودکار، ۷۵٪ از حق شغل را محاسبه خواهد نمود</t>
  </si>
  <si>
    <t>در قسمت ورود اطلاعات، سنوات خدمت را بیش از ۳۰ سال وارد نموده اید، سیستم بصورت خودکار ۳۰ سال را محاسبه خواهد نمود.</t>
  </si>
  <si>
    <t>در قسمت ورود اطلاعات، تجربه مربوط و مشابه را بیش از ۳۰ سال وارد نموده اید، سیستم بصورت خودکار ۳۰ سال محاسبه خواهد نمود.</t>
  </si>
  <si>
    <t>در قسمت ورود اطلاعات، ساعات آموزش ضمن خدمت را بیش از ۱۰۰۰ ساعت وارد نموده اید، سیستم بصورت خودکار ۱۰۰۰ ساعت را محاسبه خواهد نمود.</t>
  </si>
  <si>
    <t>امتیاز آموزش</t>
  </si>
  <si>
    <t>جمع امتیاز تحصیلات، مهارت، سنوات، تجربه و آموزش</t>
  </si>
  <si>
    <t>مدیریت</t>
  </si>
  <si>
    <t>ضریب تعدیل</t>
  </si>
  <si>
    <t>ضریب اعمالی</t>
  </si>
  <si>
    <t>متاهل یا معیل</t>
  </si>
  <si>
    <t>امتیاز ایثارگری قابل محاسبه</t>
  </si>
  <si>
    <t>از ۳ تا ۶ ماه</t>
  </si>
  <si>
    <t>امتیاز درصد جانبازي</t>
  </si>
  <si>
    <t>امتیاز مدت اسارت</t>
  </si>
  <si>
    <t>امتیاز خدمت داوطلبانه در جبهه</t>
  </si>
  <si>
    <t>امتیاز فرزند شهید</t>
  </si>
  <si>
    <t>جمع امتیاز حالات ایثارگری</t>
  </si>
  <si>
    <t>مجموع امتیازات ایثارگری شما بیش از ۱۵۰۰ امتیاز است، اما مطابق تبصره ۱ از بند ۴  ماده ۶۸ قانون مدیریت خدمات کشوری،  ۱۵۰۰ امتیاز به شما تعلق خواهد گرفت.</t>
  </si>
  <si>
    <t>پنج روز در هفته (۲۲)</t>
  </si>
  <si>
    <t>شش روز در هفته (۲۶)</t>
  </si>
  <si>
    <t>هفت روز در هفته (۳۰)</t>
  </si>
  <si>
    <t>جدول محاسبات امتیازات حق شاغل، با توجه به اطلاعات وارد شده در کاربرگ ورود اطلاعات</t>
  </si>
  <si>
    <t>جدول محاسبات امتیازات فوق العاده ایثارگری، با توجه به اطلاعات وارد شده در کاربرگ ورود اطلاعات</t>
  </si>
  <si>
    <t>درصد جانبازی</t>
  </si>
  <si>
    <t>خدمت داوطلبانه در جبهه</t>
  </si>
  <si>
    <t>شاخص</t>
  </si>
  <si>
    <t>جدول محاسبه مالیات متعلقه، از مجموع دریافتی های مشمول مالیات</t>
  </si>
  <si>
    <t>کارکنان</t>
  </si>
  <si>
    <t>امتیاز پایه</t>
  </si>
  <si>
    <t>امتیاز سرپرستی</t>
  </si>
  <si>
    <t>امتیاز مدیریتی</t>
  </si>
  <si>
    <t>قابل احتساب</t>
  </si>
  <si>
    <t xml:space="preserve">مبلغ مشمول مالیات </t>
  </si>
  <si>
    <t>مشمول رتبه بندی فرهنگیان</t>
  </si>
  <si>
    <t>کمک هزینه غذا (تعداد روزهای کاری)</t>
  </si>
  <si>
    <t>دو هفتم مشمول مالیات</t>
  </si>
  <si>
    <t>مبلغ پرداختی بابت بیمه تکمیلی</t>
  </si>
  <si>
    <t>سقف معاف مالیاتی</t>
  </si>
  <si>
    <t>مساوی یا کمتر از میزان معافیت مالیاتی*</t>
  </si>
  <si>
    <t>عنوان</t>
  </si>
  <si>
    <t>میزان معافیت مالیاتی کارکنان دولت در ماه، مطابق جدول روبرو محاسبه خواهد شد.</t>
  </si>
  <si>
    <t>سقف معافیت مالیاتی سال ۹۷</t>
  </si>
  <si>
    <t>دو هفتم مبلغ مشمول مالیات</t>
  </si>
  <si>
    <t>کسور ناشی از بیمه تکمیلی</t>
  </si>
  <si>
    <t>همراهان گرامی، در صورتی که تونستیم تا حدودی رضایت شما عزیزان رو جلب کنیم، دعا برای سلامتی بیماران سرزمین مون رو فراموش نکنید.</t>
  </si>
  <si>
    <t>نرخ اضافه کار بر اساس اصلاحیه  19 خرداد 97</t>
  </si>
  <si>
    <t>مجموع حکم بر اساس اصلاحیه  19 خرداد 97</t>
  </si>
  <si>
    <t>درصد نوبت کاری</t>
  </si>
  <si>
    <t>درصد بدی آب و هوا</t>
  </si>
  <si>
    <t>درصد مناطق کمتر توسعه یافته</t>
  </si>
  <si>
    <t>مجموع حکم بر اساس تصویب نامه 16 اردیبهشت 97</t>
  </si>
  <si>
    <t>مبالغ حکم مطابق با تصویب نامه (ریال)</t>
  </si>
  <si>
    <t>مبالغ حکم مطابق با اصلاحیه (ریال)</t>
  </si>
  <si>
    <t>جمع کل</t>
  </si>
  <si>
    <t>لطفا در کادرهای زرد رنگ ورود اطلاعات نمایید.</t>
  </si>
  <si>
    <t>اطلاعات بدست آمده از مرحله ورود اطلاعات، لطفا جهت مشاهده حکم کارگزینی به کاربرگ (شیت) دوم و مراجعه فرمایید..</t>
  </si>
  <si>
    <t xml:space="preserve">محاسبه حقوق و مزایای کارکنان (رسمی و پیمانی) مشمول قانون مدیریت خدمات کشوری مطابق با آخرین قوانین و بخشنامه های اداری </t>
  </si>
  <si>
    <t>-</t>
  </si>
  <si>
    <t>و با استناد به تصویب نامه شماره ۱۴۸۹۶/ت۵۵۳۱۳ه مورخ ۹۷/۰۲/۱۶ هیات وزیران و اصلاحیه ۱۹ خرداد ۹۷</t>
  </si>
  <si>
    <t>محاسبه احکام مقامات سیاسی (ماده ۷۱ قانون مدیریت خدمات کشوری)، فرهنگیان محترم و سایر کارکنان مشمول قانون مدیریت خدمات کشوری</t>
  </si>
  <si>
    <r>
      <t xml:space="preserve">نتایج در قسمت </t>
    </r>
    <r>
      <rPr>
        <sz val="14"/>
        <color theme="9"/>
        <rFont val="B Nazanin"/>
        <charset val="178"/>
      </rPr>
      <t>سبز رنگ</t>
    </r>
    <r>
      <rPr>
        <sz val="14"/>
        <color theme="1"/>
        <rFont val="B Nazanin"/>
        <charset val="178"/>
      </rPr>
      <t xml:space="preserve"> نمایش داده خواهد شد.</t>
    </r>
  </si>
  <si>
    <r>
      <t xml:space="preserve">نتیجه در قسمت </t>
    </r>
    <r>
      <rPr>
        <sz val="14"/>
        <color theme="9"/>
        <rFont val="B Nazanin"/>
        <charset val="178"/>
      </rPr>
      <t>سبز رنگ</t>
    </r>
    <r>
      <rPr>
        <sz val="14"/>
        <color theme="1"/>
        <rFont val="B Nazanin"/>
        <charset val="178"/>
      </rPr>
      <t xml:space="preserve"> نمایش داده خواهد شد.</t>
    </r>
  </si>
  <si>
    <r>
      <t xml:space="preserve">در قسمت </t>
    </r>
    <r>
      <rPr>
        <sz val="14"/>
        <color rgb="FFFFFF00"/>
        <rFont val="B Nazanin"/>
        <charset val="178"/>
      </rPr>
      <t>زرد رنگ</t>
    </r>
    <r>
      <rPr>
        <sz val="14"/>
        <color theme="1"/>
        <rFont val="B Nazanin"/>
        <charset val="178"/>
      </rPr>
      <t xml:space="preserve"> مطابق آخرین حکم کارگزینی ورود اطلاعات نمایید.</t>
    </r>
  </si>
  <si>
    <t>نرخ اضافه کار بر اساس تصویب نامه 16 اردیبهشت 97</t>
  </si>
  <si>
    <t xml:space="preserve">محاسبه ۷۵٪ حق شغل </t>
  </si>
  <si>
    <t>میزان افزایش (ریال)</t>
  </si>
  <si>
    <t>مبالغ ریالی حاصل از اعمال ضریب تعدیل</t>
  </si>
  <si>
    <t>*</t>
  </si>
  <si>
    <t>×</t>
  </si>
  <si>
    <t>فوق العاده سختی شرایط محیط کار (ریال)</t>
  </si>
  <si>
    <t>○</t>
  </si>
  <si>
    <t>●</t>
  </si>
  <si>
    <t>□</t>
  </si>
  <si>
    <r>
      <t xml:space="preserve">فوق العاده ویژه </t>
    </r>
    <r>
      <rPr>
        <b/>
        <sz val="16"/>
        <color theme="8" tint="-0.499984740745262"/>
        <rFont val="B Roya"/>
        <charset val="178"/>
      </rPr>
      <t>(</t>
    </r>
    <r>
      <rPr>
        <b/>
        <sz val="16"/>
        <color theme="8" tint="-0.499984740745262"/>
        <rFont val="Calibri"/>
        <family val="2"/>
      </rPr>
      <t>×)</t>
    </r>
  </si>
  <si>
    <t>اضافه کاری</t>
  </si>
  <si>
    <t>بازنشستگی و ضریب تعدیل</t>
  </si>
  <si>
    <t>نوبت کاری (حق شیفت)</t>
  </si>
  <si>
    <t>فوق العاده بدی آب و هوا و مناطق کمتر توسعه یافته</t>
  </si>
  <si>
    <r>
      <t xml:space="preserve">فوق العاده شغل </t>
    </r>
    <r>
      <rPr>
        <b/>
        <sz val="16"/>
        <color theme="8" tint="-0.499984740745262"/>
        <rFont val="B Roya"/>
        <charset val="178"/>
      </rPr>
      <t>(</t>
    </r>
    <r>
      <rPr>
        <b/>
        <sz val="16"/>
        <color theme="8" tint="-0.499984740745262"/>
        <rFont val="Calibri"/>
        <family val="2"/>
      </rPr>
      <t>× ○)</t>
    </r>
  </si>
  <si>
    <r>
      <t xml:space="preserve">فوق العاده ایثارگری </t>
    </r>
    <r>
      <rPr>
        <b/>
        <sz val="16"/>
        <color theme="8" tint="-0.499984740745262"/>
        <rFont val="B Roya"/>
        <charset val="178"/>
      </rPr>
      <t>(</t>
    </r>
    <r>
      <rPr>
        <b/>
        <sz val="16"/>
        <color theme="8" tint="-0.499984740745262"/>
        <rFont val="Calibri"/>
        <family val="2"/>
      </rPr>
      <t>× ○)</t>
    </r>
  </si>
  <si>
    <r>
      <t xml:space="preserve">فوق العاده سختی شرایط محیط کار </t>
    </r>
    <r>
      <rPr>
        <b/>
        <sz val="16"/>
        <color theme="8" tint="-0.499984740745262"/>
        <rFont val="B Roya"/>
        <charset val="178"/>
      </rPr>
      <t>(</t>
    </r>
    <r>
      <rPr>
        <b/>
        <sz val="16"/>
        <color theme="8" tint="-0.499984740745262"/>
        <rFont val="Calibri"/>
        <family val="2"/>
      </rPr>
      <t>× ○)</t>
    </r>
  </si>
  <si>
    <t>تاثیرگذاری در محاسبات آیتم های حقوقی</t>
  </si>
  <si>
    <t>توجه</t>
  </si>
  <si>
    <r>
      <t xml:space="preserve">تفاوت تطبیق </t>
    </r>
    <r>
      <rPr>
        <b/>
        <sz val="16"/>
        <color theme="8" tint="-0.499984740745262"/>
        <rFont val="B Roya"/>
        <charset val="178"/>
      </rPr>
      <t>(</t>
    </r>
    <r>
      <rPr>
        <b/>
        <sz val="16"/>
        <color theme="8" tint="-0.499984740745262"/>
        <rFont val="Calibri"/>
        <family val="2"/>
      </rPr>
      <t>□)</t>
    </r>
  </si>
  <si>
    <r>
      <t xml:space="preserve">حق شاغل </t>
    </r>
    <r>
      <rPr>
        <b/>
        <sz val="16"/>
        <color theme="8" tint="-0.499984740745262"/>
        <rFont val="B Roya"/>
        <charset val="178"/>
      </rPr>
      <t xml:space="preserve">(* </t>
    </r>
    <r>
      <rPr>
        <b/>
        <sz val="16"/>
        <color theme="8" tint="-0.499984740745262"/>
        <rFont val="Calibri"/>
        <family val="2"/>
      </rPr>
      <t>× ○ □)</t>
    </r>
  </si>
  <si>
    <r>
      <t xml:space="preserve">حق شغل </t>
    </r>
    <r>
      <rPr>
        <b/>
        <sz val="16"/>
        <color theme="8" tint="-0.499984740745262"/>
        <rFont val="B Roya"/>
        <charset val="178"/>
      </rPr>
      <t xml:space="preserve">(* </t>
    </r>
    <r>
      <rPr>
        <b/>
        <sz val="16"/>
        <color theme="8" tint="-0.499984740745262"/>
        <rFont val="Calibri"/>
        <family val="2"/>
      </rPr>
      <t>× ○ ● □)</t>
    </r>
  </si>
  <si>
    <r>
      <t xml:space="preserve">فوق العاده مدیریت </t>
    </r>
    <r>
      <rPr>
        <b/>
        <sz val="16"/>
        <color theme="8" tint="-0.499984740745262"/>
        <rFont val="B Roya"/>
        <charset val="178"/>
      </rPr>
      <t xml:space="preserve">(* </t>
    </r>
    <r>
      <rPr>
        <b/>
        <sz val="16"/>
        <color theme="8" tint="-0.499984740745262"/>
        <rFont val="Calibri"/>
        <family val="2"/>
      </rPr>
      <t>× ○ □)</t>
    </r>
  </si>
  <si>
    <t>حکم کارگزینی کارکنان مشمول قانون مدیریت خدمات کشوری (مقایسه تصویب نامه مورخ ۱۶ اردیبهشت ۹۷ هیات وزیران با اصلاحیه ۱۹ خرداد ۹۷ آن)</t>
  </si>
  <si>
    <t>مابه التفاوت حداقل حقوق تصویب نامه</t>
  </si>
  <si>
    <t>مابه التفاوت حداقل حقوق اصلاحیه</t>
  </si>
  <si>
    <t>ضمن افزایش در نرخ اضافه کار و حق ماموریت، چون کارمند مشمول حداقل یکی از فوق العاده های نوبت کاری، مناطق کمتر توسعه یافته، بدی آب و هوا یا مابه التفاوت حداقل حقوق می باشد، مجموع حکم وی پس از اعمال تغییرات ناشی از اصلاح تصویب نامه، مشمول افزایش گردیده است.</t>
  </si>
  <si>
    <t>تهیه و تنظیم:  صیاح الدین شهدی    کارشناس کارگزینی سازمان هواشناسی کشور</t>
  </si>
  <si>
    <t>ضمن افزایش در نرخ اضافه کار و حق ماموریت، چون کارمند مشمول هیچ یک از فوق العاده های نوبت کاری، مناطق کمتر توسعه یافته، بدی آب و هوا و مابه التفاوت حداقل حقوق نمی باشد، حکم کارگزینی ایشان، پس از اعمال تغییرات ناشی از اصلاح تصویب نامه، شامل افزایش نخواهد بود.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</si>
</sst>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3000401]0"/>
    <numFmt numFmtId="165" formatCode="#,##0;[Red]#,##0"/>
    <numFmt numFmtId="166" formatCode="0;[Red]0"/>
    <numFmt numFmtId="167" formatCode="0.00;[Red]0.00"/>
    <numFmt numFmtId="168" formatCode="0.0;[Red]0.0"/>
  </numFmts>
  <fonts count="54" x14ac:knownFonts="1">
    <font>
      <sz val="11"/>
      <color theme="1"/>
      <name val="Calibri"/>
      <family val="2"/>
      <scheme val="minor"/>
    </font>
    <font>
      <sz val="11"/>
      <color theme="1"/>
      <name val="Calibri"/>
      <family val="2"/>
      <charset val="178"/>
      <scheme val="minor"/>
    </font>
    <font>
      <sz val="11"/>
      <color theme="1"/>
      <name val="Calibri"/>
      <family val="2"/>
      <charset val="178"/>
      <scheme val="minor"/>
    </font>
    <font>
      <sz val="12"/>
      <color theme="1"/>
      <name val="B Nazanin"/>
      <charset val="178"/>
    </font>
    <font>
      <sz val="14"/>
      <color theme="1"/>
      <name val="B Nazanin"/>
      <charset val="178"/>
    </font>
    <font>
      <b/>
      <sz val="12"/>
      <color theme="1"/>
      <name val="B Nazanin"/>
      <charset val="178"/>
    </font>
    <font>
      <b/>
      <sz val="12"/>
      <color theme="1"/>
      <name val="B Roya"/>
      <charset val="178"/>
    </font>
    <font>
      <b/>
      <sz val="14"/>
      <color theme="1"/>
      <name val="B Roya"/>
      <charset val="178"/>
    </font>
    <font>
      <b/>
      <sz val="16"/>
      <color theme="1"/>
      <name val="B Titr"/>
      <charset val="178"/>
    </font>
    <font>
      <b/>
      <sz val="12"/>
      <color theme="0"/>
      <name val="B Nazanin"/>
      <charset val="178"/>
    </font>
    <font>
      <u/>
      <sz val="11"/>
      <color theme="10"/>
      <name val="Calibri"/>
      <family val="2"/>
      <scheme val="minor"/>
    </font>
    <font>
      <sz val="14"/>
      <color theme="0"/>
      <name val="B Nazanin"/>
      <charset val="178"/>
    </font>
    <font>
      <b/>
      <sz val="11"/>
      <color theme="1"/>
      <name val="B Nazanin"/>
      <charset val="178"/>
    </font>
    <font>
      <b/>
      <sz val="9"/>
      <color indexed="81"/>
      <name val="B Nazanin"/>
      <charset val="178"/>
    </font>
    <font>
      <sz val="9"/>
      <color indexed="81"/>
      <name val="B Nazanin"/>
      <charset val="178"/>
    </font>
    <font>
      <b/>
      <sz val="14"/>
      <color theme="1"/>
      <name val="B Nazanin"/>
      <charset val="178"/>
    </font>
    <font>
      <u/>
      <sz val="11"/>
      <color theme="10"/>
      <name val="Calibri"/>
      <family val="2"/>
      <charset val="178"/>
      <scheme val="minor"/>
    </font>
    <font>
      <sz val="11"/>
      <color theme="1"/>
      <name val="B Nazanin"/>
      <charset val="178"/>
    </font>
    <font>
      <b/>
      <sz val="24"/>
      <color theme="1"/>
      <name val="B Roya"/>
      <charset val="178"/>
    </font>
    <font>
      <b/>
      <u/>
      <sz val="11"/>
      <color theme="10"/>
      <name val="Calibri"/>
      <family val="2"/>
      <scheme val="minor"/>
    </font>
    <font>
      <b/>
      <sz val="11"/>
      <color theme="0"/>
      <name val="B Roya"/>
      <charset val="178"/>
    </font>
    <font>
      <b/>
      <sz val="12"/>
      <color theme="0"/>
      <name val="B Roya"/>
      <charset val="178"/>
    </font>
    <font>
      <b/>
      <sz val="12"/>
      <color theme="8" tint="-0.499984740745262"/>
      <name val="B Roya"/>
      <charset val="178"/>
    </font>
    <font>
      <b/>
      <sz val="12"/>
      <color theme="3" tint="-0.499984740745262"/>
      <name val="B Nazanin"/>
      <charset val="178"/>
    </font>
    <font>
      <u/>
      <sz val="11"/>
      <color theme="0"/>
      <name val="Calibri"/>
      <family val="2"/>
      <scheme val="minor"/>
    </font>
    <font>
      <sz val="14"/>
      <color rgb="FFFFFF00"/>
      <name val="B Nazanin"/>
      <charset val="178"/>
    </font>
    <font>
      <sz val="14"/>
      <color theme="9"/>
      <name val="B Nazanin"/>
      <charset val="178"/>
    </font>
    <font>
      <sz val="14"/>
      <color theme="4" tint="0.79998168889431442"/>
      <name val="B Nazanin"/>
      <charset val="178"/>
    </font>
    <font>
      <sz val="18"/>
      <color theme="0"/>
      <name val="B Mitra"/>
      <charset val="178"/>
    </font>
    <font>
      <b/>
      <sz val="11"/>
      <color theme="0"/>
      <name val="B Nazanin"/>
      <charset val="178"/>
    </font>
    <font>
      <b/>
      <sz val="16"/>
      <color theme="1"/>
      <name val="B Nazanin"/>
      <charset val="178"/>
    </font>
    <font>
      <sz val="16"/>
      <color theme="8" tint="-0.499984740745262"/>
      <name val="B Nazanin"/>
      <charset val="178"/>
    </font>
    <font>
      <b/>
      <sz val="16"/>
      <color theme="1"/>
      <name val="B Roya"/>
      <charset val="178"/>
    </font>
    <font>
      <b/>
      <sz val="18"/>
      <color theme="1"/>
      <name val="B Roya"/>
      <charset val="178"/>
    </font>
    <font>
      <b/>
      <sz val="18"/>
      <color theme="1"/>
      <name val="B Nazanin"/>
      <charset val="178"/>
    </font>
    <font>
      <b/>
      <sz val="12"/>
      <color theme="3" tint="-0.499984740745262"/>
      <name val="B Roya"/>
      <charset val="178"/>
    </font>
    <font>
      <b/>
      <sz val="14"/>
      <color theme="1"/>
      <name val="B Mitra"/>
      <charset val="178"/>
    </font>
    <font>
      <b/>
      <sz val="14"/>
      <color theme="0"/>
      <name val="B Nazanin"/>
      <charset val="178"/>
    </font>
    <font>
      <b/>
      <sz val="11"/>
      <color theme="1"/>
      <name val="B Roya"/>
      <charset val="178"/>
    </font>
    <font>
      <b/>
      <sz val="12"/>
      <color theme="5" tint="-0.499984740745262"/>
      <name val="B Nazanin"/>
      <charset val="178"/>
    </font>
    <font>
      <b/>
      <sz val="11"/>
      <color theme="1" tint="4.9989318521683403E-2"/>
      <name val="B Nazanin"/>
      <charset val="178"/>
    </font>
    <font>
      <sz val="18"/>
      <color theme="1"/>
      <name val="B Nazanin"/>
      <charset val="178"/>
    </font>
    <font>
      <u/>
      <sz val="22"/>
      <color theme="10"/>
      <name val="Calibri"/>
      <family val="2"/>
      <scheme val="minor"/>
    </font>
    <font>
      <sz val="16"/>
      <color theme="1"/>
      <name val="Calibri"/>
      <family val="2"/>
      <scheme val="minor"/>
    </font>
    <font>
      <sz val="16"/>
      <color theme="1"/>
      <name val="Calibri"/>
      <family val="2"/>
    </font>
    <font>
      <b/>
      <sz val="16"/>
      <color theme="8" tint="-0.499984740745262"/>
      <name val="B Roya"/>
      <charset val="178"/>
    </font>
    <font>
      <b/>
      <sz val="16"/>
      <color theme="8" tint="-0.499984740745262"/>
      <name val="Calibri"/>
      <family val="2"/>
    </font>
    <font>
      <b/>
      <sz val="14"/>
      <color theme="1"/>
      <name val="B Koodak"/>
      <charset val="178"/>
    </font>
    <font>
      <sz val="12"/>
      <color theme="1"/>
      <name val="B Koodak"/>
      <charset val="178"/>
    </font>
    <font>
      <b/>
      <sz val="14"/>
      <color theme="1"/>
      <name val="Calibri"/>
      <family val="2"/>
    </font>
    <font>
      <u/>
      <sz val="12"/>
      <color theme="10"/>
      <name val="Calibri"/>
      <family val="2"/>
      <scheme val="minor"/>
    </font>
    <font>
      <b/>
      <u/>
      <sz val="14"/>
      <color theme="10"/>
      <name val="Calibri"/>
      <family val="2"/>
      <scheme val="minor"/>
    </font>
    <font>
      <sz val="14"/>
      <color theme="1"/>
      <name val="Calibri"/>
      <family val="2"/>
      <scheme val="minor"/>
    </font>
    <font>
      <sz val="14"/>
      <color rgb="FFFF0000"/>
      <name val="B Titr"/>
      <charset val="178"/>
    </font>
  </fonts>
  <fills count="4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7030A0"/>
        <bgColor indexed="64"/>
      </patternFill>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9" tint="-0.249977111117893"/>
        <bgColor indexed="64"/>
      </patternFill>
    </fill>
    <fill>
      <patternFill patternType="solid">
        <fgColor theme="7" tint="0.59999389629810485"/>
        <bgColor theme="4" tint="0.79998168889431442"/>
      </patternFill>
    </fill>
    <fill>
      <patternFill patternType="solid">
        <fgColor theme="3" tint="0.7999816888943144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249977111117893"/>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0"/>
        <bgColor indexed="64"/>
      </patternFill>
    </fill>
    <fill>
      <patternFill patternType="solid">
        <fgColor theme="3"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rgb="FF92D050"/>
        <bgColor theme="4" tint="0.79998168889431442"/>
      </patternFill>
    </fill>
    <fill>
      <patternFill patternType="solid">
        <fgColor rgb="FF7030A0"/>
        <bgColor theme="4" tint="0.79998168889431442"/>
      </patternFill>
    </fill>
    <fill>
      <patternFill patternType="solid">
        <fgColor theme="3" tint="0.59999389629810485"/>
        <bgColor indexed="64"/>
      </patternFill>
    </fill>
    <fill>
      <patternFill patternType="solid">
        <fgColor theme="4" tint="-0.499984740745262"/>
        <bgColor indexed="64"/>
      </patternFill>
    </fill>
    <fill>
      <patternFill patternType="solid">
        <fgColor theme="7" tint="-0.499984740745262"/>
        <bgColor indexed="64"/>
      </patternFill>
    </fill>
    <fill>
      <patternFill patternType="solid">
        <fgColor theme="7"/>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5">
    <xf numFmtId="0" fontId="0" fillId="0" borderId="0"/>
    <xf numFmtId="0" fontId="10" fillId="0" borderId="0" applyNumberFormat="0" applyFill="0" applyBorder="0" applyAlignment="0" applyProtection="0"/>
    <xf numFmtId="0" fontId="2" fillId="0" borderId="0"/>
    <xf numFmtId="0" fontId="16" fillId="0" borderId="0" applyNumberFormat="0" applyFill="0" applyBorder="0" applyAlignment="0" applyProtection="0"/>
    <xf numFmtId="0" fontId="1" fillId="0" borderId="0"/>
  </cellStyleXfs>
  <cellXfs count="633">
    <xf numFmtId="0" fontId="0" fillId="0" borderId="0" xfId="0"/>
    <xf numFmtId="0" fontId="4"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vertical="center" shrinkToFit="1"/>
    </xf>
    <xf numFmtId="0" fontId="5" fillId="13" borderId="4" xfId="0" applyFont="1" applyFill="1" applyBorder="1" applyAlignment="1" applyProtection="1">
      <alignment horizontal="right" shrinkToFit="1"/>
      <protection hidden="1"/>
    </xf>
    <xf numFmtId="0" fontId="4" fillId="0" borderId="0" xfId="0" applyFont="1" applyAlignment="1" applyProtection="1">
      <alignment horizontal="center"/>
      <protection hidden="1"/>
    </xf>
    <xf numFmtId="0" fontId="4" fillId="14" borderId="41" xfId="0" applyFont="1" applyFill="1" applyBorder="1" applyAlignment="1" applyProtection="1">
      <alignment horizontal="center"/>
      <protection hidden="1"/>
    </xf>
    <xf numFmtId="0" fontId="4" fillId="0" borderId="41" xfId="0" applyFont="1" applyBorder="1" applyAlignment="1" applyProtection="1">
      <alignment horizontal="center"/>
      <protection hidden="1"/>
    </xf>
    <xf numFmtId="164" fontId="4" fillId="0" borderId="37" xfId="0" applyNumberFormat="1" applyFont="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10"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2" xfId="0" applyFont="1" applyBorder="1" applyAlignment="1" applyProtection="1">
      <alignment horizontal="center"/>
      <protection hidden="1"/>
    </xf>
    <xf numFmtId="164" fontId="4" fillId="0" borderId="43" xfId="0" applyNumberFormat="1" applyFont="1" applyBorder="1" applyAlignment="1" applyProtection="1">
      <alignment horizontal="center"/>
      <protection hidden="1"/>
    </xf>
    <xf numFmtId="0" fontId="4" fillId="0" borderId="3" xfId="0" applyFont="1" applyBorder="1" applyAlignment="1" applyProtection="1">
      <alignment horizontal="center"/>
      <protection hidden="1"/>
    </xf>
    <xf numFmtId="0" fontId="4" fillId="14" borderId="42" xfId="0" applyFont="1" applyFill="1" applyBorder="1" applyAlignment="1" applyProtection="1">
      <alignment horizontal="center"/>
      <protection hidden="1"/>
    </xf>
    <xf numFmtId="0" fontId="4" fillId="0" borderId="50" xfId="0" applyFont="1" applyBorder="1" applyAlignment="1" applyProtection="1">
      <alignment horizontal="center"/>
      <protection hidden="1"/>
    </xf>
    <xf numFmtId="164" fontId="4" fillId="0" borderId="39" xfId="0" applyNumberFormat="1" applyFont="1" applyBorder="1" applyAlignment="1" applyProtection="1">
      <alignment horizontal="center"/>
      <protection hidden="1"/>
    </xf>
    <xf numFmtId="164" fontId="4" fillId="0" borderId="1" xfId="0" applyNumberFormat="1" applyFont="1" applyBorder="1" applyAlignment="1" applyProtection="1">
      <alignment horizontal="center"/>
      <protection hidden="1"/>
    </xf>
    <xf numFmtId="0" fontId="4" fillId="0" borderId="15" xfId="0" applyFont="1" applyBorder="1" applyAlignment="1" applyProtection="1">
      <alignment horizontal="center"/>
      <protection hidden="1"/>
    </xf>
    <xf numFmtId="0" fontId="4" fillId="0" borderId="18" xfId="0" applyFont="1" applyBorder="1" applyAlignment="1" applyProtection="1">
      <alignment horizontal="center"/>
      <protection hidden="1"/>
    </xf>
    <xf numFmtId="0" fontId="4" fillId="0" borderId="45" xfId="0" applyFont="1" applyBorder="1" applyAlignment="1" applyProtection="1">
      <alignment horizontal="center"/>
      <protection hidden="1"/>
    </xf>
    <xf numFmtId="0" fontId="4" fillId="0" borderId="4" xfId="0" applyFont="1" applyBorder="1" applyAlignment="1" applyProtection="1">
      <alignment horizontal="center"/>
      <protection hidden="1"/>
    </xf>
    <xf numFmtId="164" fontId="4" fillId="0" borderId="5" xfId="0" applyNumberFormat="1" applyFont="1" applyBorder="1" applyAlignment="1" applyProtection="1">
      <alignment horizontal="center"/>
      <protection hidden="1"/>
    </xf>
    <xf numFmtId="0" fontId="4" fillId="3" borderId="38" xfId="0" applyFont="1" applyFill="1" applyBorder="1" applyAlignment="1" applyProtection="1">
      <alignment horizontal="center"/>
      <protection hidden="1"/>
    </xf>
    <xf numFmtId="0" fontId="4" fillId="15" borderId="41"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0" fontId="4" fillId="3" borderId="24" xfId="0" applyFont="1" applyFill="1" applyBorder="1" applyAlignment="1" applyProtection="1">
      <alignment horizontal="center"/>
      <protection hidden="1"/>
    </xf>
    <xf numFmtId="0" fontId="4" fillId="15" borderId="52" xfId="0" applyFont="1" applyFill="1" applyBorder="1" applyAlignment="1" applyProtection="1">
      <alignment horizontal="center"/>
      <protection hidden="1"/>
    </xf>
    <xf numFmtId="0" fontId="4" fillId="3" borderId="19" xfId="0" applyFont="1" applyFill="1" applyBorder="1" applyAlignment="1" applyProtection="1">
      <alignment horizontal="center"/>
      <protection hidden="1"/>
    </xf>
    <xf numFmtId="0" fontId="4" fillId="3" borderId="21" xfId="0" applyFont="1" applyFill="1" applyBorder="1" applyAlignment="1" applyProtection="1">
      <alignment horizontal="center"/>
      <protection hidden="1"/>
    </xf>
    <xf numFmtId="0" fontId="4" fillId="16" borderId="56" xfId="0" applyFont="1" applyFill="1" applyBorder="1" applyAlignment="1" applyProtection="1">
      <alignment horizontal="center"/>
      <protection hidden="1"/>
    </xf>
    <xf numFmtId="0" fontId="4" fillId="0" borderId="40" xfId="0" applyFont="1" applyBorder="1" applyAlignment="1" applyProtection="1">
      <alignment horizontal="center"/>
      <protection hidden="1"/>
    </xf>
    <xf numFmtId="0" fontId="4" fillId="16" borderId="39" xfId="0" applyFont="1" applyFill="1" applyBorder="1" applyAlignment="1" applyProtection="1">
      <alignment horizontal="center"/>
      <protection hidden="1"/>
    </xf>
    <xf numFmtId="0" fontId="4" fillId="13" borderId="4" xfId="0" applyFont="1" applyFill="1" applyBorder="1" applyAlignment="1" applyProtection="1">
      <alignment horizontal="center"/>
      <protection hidden="1"/>
    </xf>
    <xf numFmtId="0" fontId="4" fillId="0" borderId="0" xfId="0" applyFont="1" applyBorder="1" applyAlignment="1" applyProtection="1">
      <alignment horizontal="center"/>
      <protection hidden="1"/>
    </xf>
    <xf numFmtId="0" fontId="4" fillId="16" borderId="38" xfId="0" applyFont="1" applyFill="1" applyBorder="1" applyAlignment="1" applyProtection="1">
      <alignment horizontal="center"/>
      <protection hidden="1"/>
    </xf>
    <xf numFmtId="0" fontId="4" fillId="0" borderId="13" xfId="0" applyFont="1" applyBorder="1" applyAlignment="1" applyProtection="1">
      <alignment horizontal="center"/>
      <protection hidden="1"/>
    </xf>
    <xf numFmtId="0" fontId="4" fillId="0" borderId="22" xfId="0" applyFont="1" applyBorder="1" applyAlignment="1" applyProtection="1">
      <alignment horizontal="center"/>
      <protection hidden="1"/>
    </xf>
    <xf numFmtId="0" fontId="4" fillId="0" borderId="46" xfId="0" applyFont="1" applyBorder="1" applyAlignment="1" applyProtection="1">
      <alignment horizontal="center"/>
      <protection hidden="1"/>
    </xf>
    <xf numFmtId="164" fontId="4" fillId="13" borderId="5" xfId="0" applyNumberFormat="1" applyFont="1" applyFill="1" applyBorder="1" applyAlignment="1" applyProtection="1">
      <alignment horizontal="center"/>
      <protection hidden="1"/>
    </xf>
    <xf numFmtId="0" fontId="4" fillId="0" borderId="11" xfId="0" applyFont="1" applyBorder="1" applyAlignment="1" applyProtection="1">
      <alignment horizontal="center"/>
      <protection hidden="1"/>
    </xf>
    <xf numFmtId="0" fontId="4" fillId="0" borderId="49" xfId="0" applyFont="1" applyBorder="1" applyAlignment="1" applyProtection="1">
      <alignment horizontal="center"/>
      <protection hidden="1"/>
    </xf>
    <xf numFmtId="168" fontId="4" fillId="9" borderId="1" xfId="0" applyNumberFormat="1" applyFont="1" applyFill="1" applyBorder="1" applyAlignment="1" applyProtection="1">
      <alignment horizontal="center"/>
      <protection hidden="1"/>
    </xf>
    <xf numFmtId="0" fontId="4" fillId="13" borderId="5" xfId="0" applyFont="1" applyFill="1" applyBorder="1" applyAlignment="1" applyProtection="1">
      <alignment horizontal="center"/>
      <protection hidden="1"/>
    </xf>
    <xf numFmtId="164" fontId="4" fillId="2" borderId="21" xfId="0" applyNumberFormat="1" applyFont="1" applyFill="1" applyBorder="1" applyAlignment="1" applyProtection="1">
      <alignment horizontal="center"/>
      <protection hidden="1"/>
    </xf>
    <xf numFmtId="164" fontId="4" fillId="0" borderId="10" xfId="0" applyNumberFormat="1" applyFont="1" applyBorder="1" applyAlignment="1" applyProtection="1">
      <alignment horizontal="center"/>
      <protection hidden="1"/>
    </xf>
    <xf numFmtId="0" fontId="4" fillId="0" borderId="0" xfId="0" applyFont="1" applyFill="1" applyBorder="1" applyAlignment="1" applyProtection="1">
      <alignment horizontal="center"/>
      <protection hidden="1"/>
    </xf>
    <xf numFmtId="0" fontId="4" fillId="9" borderId="1" xfId="0" applyFont="1" applyFill="1" applyBorder="1" applyAlignment="1" applyProtection="1">
      <alignment horizontal="center"/>
      <protection hidden="1"/>
    </xf>
    <xf numFmtId="0" fontId="4" fillId="0" borderId="44" xfId="0" applyFont="1" applyBorder="1" applyAlignment="1" applyProtection="1">
      <alignment horizontal="center"/>
      <protection hidden="1"/>
    </xf>
    <xf numFmtId="0" fontId="4" fillId="0" borderId="7" xfId="0" applyFont="1" applyBorder="1" applyAlignment="1" applyProtection="1">
      <alignment horizontal="center"/>
      <protection hidden="1"/>
    </xf>
    <xf numFmtId="164" fontId="4" fillId="0" borderId="0" xfId="0" applyNumberFormat="1" applyFont="1" applyBorder="1" applyAlignment="1" applyProtection="1">
      <alignment horizontal="center"/>
      <protection hidden="1"/>
    </xf>
    <xf numFmtId="166" fontId="4" fillId="0" borderId="5" xfId="0" applyNumberFormat="1" applyFont="1" applyBorder="1" applyAlignment="1" applyProtection="1">
      <alignment horizontal="center"/>
      <protection hidden="1"/>
    </xf>
    <xf numFmtId="166" fontId="4" fillId="11" borderId="7" xfId="0" applyNumberFormat="1" applyFont="1" applyFill="1" applyBorder="1" applyAlignment="1" applyProtection="1">
      <alignment horizontal="center"/>
      <protection hidden="1"/>
    </xf>
    <xf numFmtId="0" fontId="4" fillId="8" borderId="21" xfId="0" applyFont="1" applyFill="1" applyBorder="1" applyAlignment="1" applyProtection="1">
      <alignment horizontal="center"/>
      <protection hidden="1"/>
    </xf>
    <xf numFmtId="166" fontId="4" fillId="0" borderId="37" xfId="0" applyNumberFormat="1" applyFont="1" applyBorder="1" applyAlignment="1" applyProtection="1">
      <alignment horizontal="center"/>
      <protection hidden="1"/>
    </xf>
    <xf numFmtId="0" fontId="4" fillId="0" borderId="5" xfId="0" applyFont="1" applyBorder="1" applyAlignment="1" applyProtection="1">
      <alignment horizontal="center"/>
      <protection hidden="1"/>
    </xf>
    <xf numFmtId="167" fontId="4" fillId="0" borderId="39" xfId="0" applyNumberFormat="1" applyFont="1" applyBorder="1" applyAlignment="1" applyProtection="1">
      <alignment horizontal="center"/>
      <protection hidden="1"/>
    </xf>
    <xf numFmtId="0" fontId="4" fillId="10" borderId="7" xfId="0" applyFont="1" applyFill="1" applyBorder="1" applyAlignment="1" applyProtection="1">
      <alignment horizontal="center"/>
      <protection hidden="1"/>
    </xf>
    <xf numFmtId="167" fontId="4" fillId="0" borderId="57" xfId="0" applyNumberFormat="1" applyFont="1" applyBorder="1" applyAlignment="1" applyProtection="1">
      <alignment horizontal="center"/>
      <protection hidden="1"/>
    </xf>
    <xf numFmtId="164" fontId="4" fillId="12" borderId="19" xfId="0" applyNumberFormat="1" applyFont="1" applyFill="1" applyBorder="1" applyAlignment="1" applyProtection="1">
      <alignment horizontal="center"/>
      <protection hidden="1"/>
    </xf>
    <xf numFmtId="165" fontId="4" fillId="12" borderId="21" xfId="0" applyNumberFormat="1" applyFont="1" applyFill="1" applyBorder="1" applyAlignment="1" applyProtection="1">
      <alignment horizontal="center"/>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3" fillId="0" borderId="0" xfId="0" applyFont="1" applyFill="1" applyBorder="1" applyAlignment="1" applyProtection="1">
      <alignment horizontal="center"/>
      <protection hidden="1"/>
    </xf>
    <xf numFmtId="0" fontId="4" fillId="10" borderId="21" xfId="0" applyFont="1" applyFill="1" applyBorder="1" applyAlignment="1" applyProtection="1">
      <alignment horizontal="center"/>
      <protection hidden="1"/>
    </xf>
    <xf numFmtId="0" fontId="4" fillId="0" borderId="51"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4" fillId="0" borderId="6" xfId="0" applyFont="1" applyBorder="1" applyAlignment="1" applyProtection="1">
      <alignment horizontal="center"/>
      <protection hidden="1"/>
    </xf>
    <xf numFmtId="0" fontId="4" fillId="2" borderId="55" xfId="0" applyFont="1" applyFill="1" applyBorder="1" applyAlignment="1" applyProtection="1">
      <alignment horizontal="center"/>
      <protection hidden="1"/>
    </xf>
    <xf numFmtId="164" fontId="3" fillId="0" borderId="0" xfId="0" applyNumberFormat="1" applyFont="1" applyBorder="1" applyAlignment="1" applyProtection="1">
      <alignment horizontal="center" vertical="center"/>
      <protection hidden="1"/>
    </xf>
    <xf numFmtId="0" fontId="5" fillId="13" borderId="4" xfId="0" applyFont="1" applyFill="1" applyBorder="1" applyAlignment="1" applyProtection="1">
      <alignment horizontal="right" vertical="center" shrinkToFit="1"/>
      <protection hidden="1"/>
    </xf>
    <xf numFmtId="0" fontId="3" fillId="0" borderId="1" xfId="0" applyFont="1" applyBorder="1" applyAlignment="1" applyProtection="1">
      <alignment horizontal="center" vertical="center" shrinkToFit="1"/>
      <protection hidden="1"/>
    </xf>
    <xf numFmtId="164" fontId="4" fillId="0" borderId="18" xfId="0" applyNumberFormat="1" applyFont="1" applyBorder="1" applyAlignment="1" applyProtection="1">
      <alignment horizontal="center"/>
      <protection hidden="1"/>
    </xf>
    <xf numFmtId="164" fontId="4" fillId="0" borderId="38" xfId="0" applyNumberFormat="1" applyFont="1" applyBorder="1" applyAlignment="1" applyProtection="1">
      <alignment horizontal="center"/>
      <protection hidden="1"/>
    </xf>
    <xf numFmtId="0" fontId="0" fillId="0" borderId="0" xfId="0" applyProtection="1">
      <protection hidden="1"/>
    </xf>
    <xf numFmtId="0" fontId="6" fillId="5" borderId="23" xfId="0" applyFont="1" applyFill="1" applyBorder="1" applyAlignment="1" applyProtection="1">
      <alignment horizontal="center" vertical="center"/>
      <protection hidden="1"/>
    </xf>
    <xf numFmtId="0" fontId="5" fillId="0" borderId="31" xfId="0" applyFont="1" applyBorder="1" applyAlignment="1" applyProtection="1">
      <alignment horizontal="right" vertical="center" shrinkToFit="1"/>
      <protection hidden="1"/>
    </xf>
    <xf numFmtId="165" fontId="5" fillId="0" borderId="25" xfId="0" applyNumberFormat="1" applyFont="1" applyBorder="1" applyAlignment="1" applyProtection="1">
      <alignment horizontal="center" vertical="center"/>
      <protection hidden="1"/>
    </xf>
    <xf numFmtId="0" fontId="5" fillId="0" borderId="32" xfId="0" applyFont="1" applyBorder="1" applyAlignment="1" applyProtection="1">
      <alignment horizontal="right" vertical="center" shrinkToFit="1"/>
      <protection hidden="1"/>
    </xf>
    <xf numFmtId="165" fontId="5" fillId="0" borderId="0" xfId="0" applyNumberFormat="1" applyFont="1" applyBorder="1" applyAlignment="1" applyProtection="1">
      <alignment horizontal="center" vertical="center"/>
      <protection hidden="1"/>
    </xf>
    <xf numFmtId="3" fontId="5" fillId="0" borderId="0" xfId="0" applyNumberFormat="1"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3" borderId="23" xfId="0" applyFont="1" applyFill="1" applyBorder="1" applyAlignment="1" applyProtection="1">
      <alignment horizontal="center" vertical="center" shrinkToFit="1"/>
      <protection hidden="1"/>
    </xf>
    <xf numFmtId="165" fontId="5" fillId="3" borderId="23" xfId="0" applyNumberFormat="1" applyFont="1" applyFill="1" applyBorder="1" applyAlignment="1" applyProtection="1">
      <alignment horizontal="center" vertical="center"/>
      <protection hidden="1"/>
    </xf>
    <xf numFmtId="0" fontId="4" fillId="0" borderId="1"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1" xfId="0" applyFont="1" applyBorder="1" applyAlignment="1">
      <alignment horizontal="center"/>
    </xf>
    <xf numFmtId="0" fontId="4" fillId="0" borderId="2" xfId="0" applyFont="1" applyBorder="1" applyAlignment="1">
      <alignment horizontal="center"/>
    </xf>
    <xf numFmtId="0" fontId="4" fillId="0" borderId="43"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pplyProtection="1">
      <alignment horizontal="center" shrinkToFit="1"/>
      <protection hidden="1"/>
    </xf>
    <xf numFmtId="0" fontId="11" fillId="6" borderId="22" xfId="0" applyFont="1" applyFill="1" applyBorder="1" applyAlignment="1" applyProtection="1">
      <alignment horizontal="center"/>
      <protection hidden="1"/>
    </xf>
    <xf numFmtId="0" fontId="4" fillId="2" borderId="1" xfId="0" applyFont="1" applyFill="1" applyBorder="1" applyAlignment="1" applyProtection="1">
      <alignment horizontal="center" shrinkToFit="1"/>
      <protection hidden="1"/>
    </xf>
    <xf numFmtId="165" fontId="4" fillId="0" borderId="0" xfId="0" applyNumberFormat="1" applyFont="1" applyFill="1" applyBorder="1" applyAlignment="1" applyProtection="1">
      <alignment horizontal="center"/>
      <protection hidden="1"/>
    </xf>
    <xf numFmtId="3" fontId="12" fillId="0" borderId="0" xfId="0" applyNumberFormat="1" applyFont="1" applyFill="1" applyBorder="1" applyAlignment="1" applyProtection="1">
      <alignment horizontal="right" vertical="center"/>
      <protection hidden="1"/>
    </xf>
    <xf numFmtId="3" fontId="5" fillId="20" borderId="1" xfId="0" applyNumberFormat="1" applyFont="1" applyFill="1" applyBorder="1" applyAlignment="1" applyProtection="1">
      <alignment horizontal="center" vertical="center"/>
      <protection hidden="1"/>
    </xf>
    <xf numFmtId="0" fontId="5" fillId="20" borderId="1" xfId="0" applyNumberFormat="1" applyFont="1" applyFill="1" applyBorder="1" applyAlignment="1" applyProtection="1">
      <alignment horizontal="center" vertical="center"/>
      <protection hidden="1"/>
    </xf>
    <xf numFmtId="3" fontId="5" fillId="20" borderId="5" xfId="0" applyNumberFormat="1" applyFont="1" applyFill="1" applyBorder="1" applyAlignment="1" applyProtection="1">
      <alignment horizontal="center" vertical="center"/>
      <protection hidden="1"/>
    </xf>
    <xf numFmtId="0" fontId="4" fillId="3" borderId="56" xfId="0" applyFont="1" applyFill="1" applyBorder="1" applyAlignment="1" applyProtection="1">
      <alignment horizontal="center"/>
      <protection hidden="1"/>
    </xf>
    <xf numFmtId="0" fontId="4" fillId="3" borderId="58" xfId="0" applyFont="1" applyFill="1" applyBorder="1" applyAlignment="1" applyProtection="1">
      <alignment horizontal="center"/>
      <protection hidden="1"/>
    </xf>
    <xf numFmtId="0" fontId="4" fillId="0" borderId="37" xfId="0" applyFont="1" applyBorder="1" applyAlignment="1" applyProtection="1">
      <alignment horizontal="center"/>
      <protection hidden="1"/>
    </xf>
    <xf numFmtId="0" fontId="4" fillId="0" borderId="38" xfId="0" applyFont="1" applyBorder="1" applyAlignment="1" applyProtection="1">
      <alignment horizontal="center"/>
      <protection hidden="1"/>
    </xf>
    <xf numFmtId="9" fontId="4" fillId="21" borderId="43" xfId="0" applyNumberFormat="1" applyFont="1" applyFill="1" applyBorder="1" applyAlignment="1">
      <alignment horizontal="center"/>
    </xf>
    <xf numFmtId="165" fontId="4" fillId="21" borderId="43" xfId="0" applyNumberFormat="1" applyFont="1" applyFill="1" applyBorder="1" applyAlignment="1">
      <alignment horizontal="center"/>
    </xf>
    <xf numFmtId="165" fontId="4" fillId="21" borderId="3" xfId="0" applyNumberFormat="1" applyFont="1" applyFill="1" applyBorder="1" applyAlignment="1">
      <alignment horizontal="center"/>
    </xf>
    <xf numFmtId="9" fontId="4" fillId="21" borderId="1" xfId="0" applyNumberFormat="1" applyFont="1" applyFill="1" applyBorder="1" applyAlignment="1">
      <alignment horizontal="center"/>
    </xf>
    <xf numFmtId="165" fontId="4" fillId="21" borderId="1" xfId="0" applyNumberFormat="1" applyFont="1" applyFill="1" applyBorder="1" applyAlignment="1">
      <alignment horizontal="center"/>
    </xf>
    <xf numFmtId="165" fontId="4" fillId="21" borderId="5" xfId="0" applyNumberFormat="1" applyFont="1" applyFill="1" applyBorder="1" applyAlignment="1">
      <alignment horizontal="center"/>
    </xf>
    <xf numFmtId="0" fontId="4" fillId="21" borderId="44" xfId="0" applyFont="1" applyFill="1" applyBorder="1" applyAlignment="1">
      <alignment horizontal="center"/>
    </xf>
    <xf numFmtId="0" fontId="4" fillId="22" borderId="44" xfId="0" applyFont="1" applyFill="1" applyBorder="1" applyAlignment="1">
      <alignment horizontal="center"/>
    </xf>
    <xf numFmtId="165" fontId="4" fillId="22" borderId="7" xfId="0" applyNumberFormat="1" applyFont="1" applyFill="1" applyBorder="1" applyAlignment="1">
      <alignment horizontal="center"/>
    </xf>
    <xf numFmtId="3" fontId="4" fillId="0" borderId="0" xfId="0" applyNumberFormat="1" applyFont="1" applyBorder="1" applyAlignment="1" applyProtection="1">
      <alignment horizontal="center"/>
      <protection hidden="1"/>
    </xf>
    <xf numFmtId="3" fontId="5" fillId="17" borderId="1" xfId="0" applyNumberFormat="1" applyFont="1" applyFill="1" applyBorder="1" applyAlignment="1" applyProtection="1">
      <alignment horizontal="center" vertical="center"/>
      <protection hidden="1"/>
    </xf>
    <xf numFmtId="0" fontId="5" fillId="17" borderId="1" xfId="0" applyNumberFormat="1" applyFont="1" applyFill="1" applyBorder="1" applyAlignment="1" applyProtection="1">
      <alignment horizontal="center" vertical="center"/>
      <protection hidden="1"/>
    </xf>
    <xf numFmtId="3" fontId="5" fillId="17" borderId="5" xfId="0" applyNumberFormat="1" applyFont="1" applyFill="1" applyBorder="1" applyAlignment="1" applyProtection="1">
      <alignment horizontal="center" vertical="center"/>
      <protection hidden="1"/>
    </xf>
    <xf numFmtId="0" fontId="4" fillId="17" borderId="19" xfId="0" applyFont="1" applyFill="1" applyBorder="1" applyAlignment="1" applyProtection="1">
      <alignment horizontal="center"/>
      <protection hidden="1"/>
    </xf>
    <xf numFmtId="3" fontId="4" fillId="17" borderId="21" xfId="0" applyNumberFormat="1" applyFont="1" applyFill="1" applyBorder="1" applyAlignment="1" applyProtection="1">
      <alignment horizontal="center"/>
      <protection hidden="1"/>
    </xf>
    <xf numFmtId="0" fontId="4" fillId="5" borderId="49" xfId="0" applyFont="1" applyFill="1" applyBorder="1" applyAlignment="1" applyProtection="1">
      <alignment horizontal="center"/>
      <protection hidden="1"/>
    </xf>
    <xf numFmtId="165" fontId="4" fillId="0" borderId="1" xfId="0" applyNumberFormat="1" applyFont="1" applyBorder="1" applyAlignment="1" applyProtection="1">
      <alignment horizontal="center"/>
      <protection hidden="1"/>
    </xf>
    <xf numFmtId="164" fontId="4" fillId="0" borderId="0" xfId="0" applyNumberFormat="1" applyFont="1" applyBorder="1" applyAlignment="1">
      <alignment horizontal="center"/>
    </xf>
    <xf numFmtId="0" fontId="4" fillId="0" borderId="0" xfId="0" applyFont="1" applyBorder="1" applyAlignment="1">
      <alignment horizontal="center"/>
    </xf>
    <xf numFmtId="165" fontId="4" fillId="11" borderId="3" xfId="0" applyNumberFormat="1" applyFont="1" applyFill="1" applyBorder="1" applyAlignment="1" applyProtection="1">
      <alignment horizontal="center"/>
      <protection hidden="1"/>
    </xf>
    <xf numFmtId="165" fontId="4" fillId="11" borderId="14" xfId="0" applyNumberFormat="1" applyFont="1" applyFill="1" applyBorder="1" applyAlignment="1" applyProtection="1">
      <alignment horizontal="center"/>
      <protection hidden="1"/>
    </xf>
    <xf numFmtId="165" fontId="4" fillId="11" borderId="49" xfId="0" applyNumberFormat="1" applyFont="1" applyFill="1" applyBorder="1" applyAlignment="1" applyProtection="1">
      <alignment horizontal="center"/>
      <protection hidden="1"/>
    </xf>
    <xf numFmtId="165" fontId="4" fillId="24" borderId="21" xfId="0" applyNumberFormat="1" applyFont="1" applyFill="1" applyBorder="1" applyAlignment="1" applyProtection="1">
      <alignment horizontal="center"/>
      <protection hidden="1"/>
    </xf>
    <xf numFmtId="0" fontId="4" fillId="0" borderId="0" xfId="0" quotePrefix="1" applyFont="1" applyAlignment="1" applyProtection="1">
      <alignment horizontal="center"/>
      <protection hidden="1"/>
    </xf>
    <xf numFmtId="0" fontId="4" fillId="9" borderId="21" xfId="0" applyFont="1" applyFill="1" applyBorder="1" applyAlignment="1" applyProtection="1">
      <alignment horizontal="center"/>
      <protection hidden="1"/>
    </xf>
    <xf numFmtId="165" fontId="4" fillId="2" borderId="2" xfId="0" applyNumberFormat="1" applyFont="1" applyFill="1" applyBorder="1" applyAlignment="1" applyProtection="1">
      <alignment horizontal="center"/>
      <protection hidden="1"/>
    </xf>
    <xf numFmtId="165" fontId="4" fillId="2" borderId="43" xfId="0" applyNumberFormat="1"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165" fontId="4" fillId="2" borderId="4" xfId="0" applyNumberFormat="1" applyFont="1" applyFill="1" applyBorder="1" applyAlignment="1" applyProtection="1">
      <alignment horizontal="center"/>
      <protection hidden="1"/>
    </xf>
    <xf numFmtId="165" fontId="4" fillId="2" borderId="1" xfId="0" applyNumberFormat="1" applyFont="1" applyFill="1" applyBorder="1" applyAlignment="1" applyProtection="1">
      <alignment horizontal="center"/>
      <protection hidden="1"/>
    </xf>
    <xf numFmtId="0" fontId="4" fillId="2" borderId="5" xfId="0" applyFont="1" applyFill="1" applyBorder="1" applyAlignment="1" applyProtection="1">
      <alignment horizontal="center"/>
      <protection hidden="1"/>
    </xf>
    <xf numFmtId="165" fontId="4" fillId="2" borderId="13" xfId="0" applyNumberFormat="1" applyFont="1" applyFill="1" applyBorder="1" applyAlignment="1" applyProtection="1">
      <alignment horizontal="center"/>
      <protection hidden="1"/>
    </xf>
    <xf numFmtId="165" fontId="4" fillId="2" borderId="22" xfId="0" applyNumberFormat="1" applyFont="1" applyFill="1" applyBorder="1" applyAlignment="1" applyProtection="1">
      <alignment horizontal="center"/>
      <protection hidden="1"/>
    </xf>
    <xf numFmtId="0" fontId="4" fillId="2" borderId="14" xfId="0" applyFont="1" applyFill="1" applyBorder="1" applyAlignment="1" applyProtection="1">
      <alignment horizontal="center"/>
      <protection hidden="1"/>
    </xf>
    <xf numFmtId="0" fontId="4" fillId="5" borderId="2" xfId="0" applyFont="1" applyFill="1" applyBorder="1" applyAlignment="1" applyProtection="1">
      <alignment horizontal="center"/>
      <protection hidden="1"/>
    </xf>
    <xf numFmtId="165" fontId="4" fillId="5" borderId="43" xfId="0" applyNumberFormat="1" applyFont="1" applyFill="1" applyBorder="1" applyAlignment="1" applyProtection="1">
      <alignment horizontal="center"/>
      <protection hidden="1"/>
    </xf>
    <xf numFmtId="0" fontId="4" fillId="5" borderId="3" xfId="0" applyFont="1" applyFill="1" applyBorder="1" applyAlignment="1" applyProtection="1">
      <alignment horizontal="center"/>
      <protection hidden="1"/>
    </xf>
    <xf numFmtId="0" fontId="4" fillId="5" borderId="4" xfId="0" applyFont="1" applyFill="1" applyBorder="1" applyAlignment="1" applyProtection="1">
      <alignment horizontal="center"/>
      <protection hidden="1"/>
    </xf>
    <xf numFmtId="165" fontId="4" fillId="5" borderId="1" xfId="0" applyNumberFormat="1" applyFont="1" applyFill="1" applyBorder="1" applyAlignment="1" applyProtection="1">
      <alignment horizontal="center"/>
      <protection hidden="1"/>
    </xf>
    <xf numFmtId="0" fontId="4" fillId="5" borderId="5" xfId="0" applyFont="1" applyFill="1" applyBorder="1" applyAlignment="1" applyProtection="1">
      <alignment horizontal="center"/>
      <protection hidden="1"/>
    </xf>
    <xf numFmtId="0" fontId="4" fillId="12" borderId="14" xfId="0" applyFont="1" applyFill="1" applyBorder="1" applyAlignment="1" applyProtection="1">
      <alignment horizontal="center"/>
      <protection hidden="1"/>
    </xf>
    <xf numFmtId="0" fontId="4" fillId="25" borderId="49" xfId="0" applyFont="1" applyFill="1" applyBorder="1" applyAlignment="1">
      <alignment horizontal="center"/>
    </xf>
    <xf numFmtId="0" fontId="4" fillId="23" borderId="21" xfId="0" applyFont="1" applyFill="1" applyBorder="1" applyAlignment="1">
      <alignment horizontal="center"/>
    </xf>
    <xf numFmtId="0" fontId="4" fillId="26" borderId="1" xfId="0" applyFont="1" applyFill="1" applyBorder="1" applyAlignment="1" applyProtection="1">
      <alignment horizontal="center"/>
      <protection hidden="1"/>
    </xf>
    <xf numFmtId="0" fontId="4" fillId="26" borderId="1" xfId="0" applyFont="1" applyFill="1" applyBorder="1" applyAlignment="1">
      <alignment horizontal="center"/>
    </xf>
    <xf numFmtId="0" fontId="4" fillId="26" borderId="4" xfId="0" applyFont="1" applyFill="1" applyBorder="1" applyAlignment="1" applyProtection="1">
      <alignment horizontal="center"/>
      <protection hidden="1"/>
    </xf>
    <xf numFmtId="0" fontId="4" fillId="26" borderId="5" xfId="0" applyFont="1" applyFill="1" applyBorder="1" applyAlignment="1" applyProtection="1">
      <alignment horizontal="center"/>
      <protection hidden="1"/>
    </xf>
    <xf numFmtId="0" fontId="4" fillId="26" borderId="4" xfId="0" applyFont="1" applyFill="1" applyBorder="1" applyAlignment="1">
      <alignment horizontal="center"/>
    </xf>
    <xf numFmtId="0" fontId="4" fillId="26" borderId="5" xfId="0" applyFont="1" applyFill="1" applyBorder="1" applyAlignment="1">
      <alignment horizontal="center"/>
    </xf>
    <xf numFmtId="0" fontId="4" fillId="21" borderId="9" xfId="0" applyFont="1" applyFill="1" applyBorder="1" applyAlignment="1" applyProtection="1">
      <alignment horizontal="center"/>
      <protection hidden="1"/>
    </xf>
    <xf numFmtId="0" fontId="4" fillId="21" borderId="11" xfId="0" applyFont="1" applyFill="1" applyBorder="1" applyAlignment="1" applyProtection="1">
      <alignment horizontal="center"/>
      <protection hidden="1"/>
    </xf>
    <xf numFmtId="0" fontId="4" fillId="21" borderId="12" xfId="0" applyFont="1" applyFill="1" applyBorder="1" applyAlignment="1">
      <alignment horizontal="center"/>
    </xf>
    <xf numFmtId="0" fontId="4" fillId="11" borderId="9" xfId="0" applyFont="1" applyFill="1" applyBorder="1" applyAlignment="1">
      <alignment horizontal="center"/>
    </xf>
    <xf numFmtId="0" fontId="4" fillId="11" borderId="59" xfId="0" applyFont="1" applyFill="1" applyBorder="1" applyAlignment="1">
      <alignment horizontal="center"/>
    </xf>
    <xf numFmtId="0" fontId="4" fillId="11" borderId="59" xfId="0" applyFont="1" applyFill="1" applyBorder="1" applyAlignment="1">
      <alignment horizontal="center" shrinkToFit="1"/>
    </xf>
    <xf numFmtId="0" fontId="4" fillId="2" borderId="19" xfId="0" applyFont="1" applyFill="1" applyBorder="1" applyAlignment="1" applyProtection="1">
      <alignment horizontal="center"/>
      <protection hidden="1"/>
    </xf>
    <xf numFmtId="165" fontId="5" fillId="0" borderId="31" xfId="0" applyNumberFormat="1" applyFont="1" applyBorder="1" applyAlignment="1" applyProtection="1">
      <alignment horizontal="center"/>
      <protection hidden="1"/>
    </xf>
    <xf numFmtId="165" fontId="5" fillId="0" borderId="32" xfId="0" applyNumberFormat="1" applyFont="1" applyBorder="1" applyAlignment="1" applyProtection="1">
      <alignment horizontal="center"/>
      <protection hidden="1"/>
    </xf>
    <xf numFmtId="0" fontId="0" fillId="0" borderId="32" xfId="0" applyBorder="1"/>
    <xf numFmtId="165" fontId="5" fillId="0" borderId="33" xfId="0" applyNumberFormat="1" applyFont="1" applyBorder="1" applyAlignment="1" applyProtection="1">
      <alignment horizontal="center"/>
      <protection hidden="1"/>
    </xf>
    <xf numFmtId="0" fontId="5" fillId="13" borderId="0" xfId="0" applyFont="1" applyFill="1" applyBorder="1" applyAlignment="1" applyProtection="1">
      <alignment horizontal="right" shrinkToFit="1"/>
      <protection hidden="1"/>
    </xf>
    <xf numFmtId="3" fontId="12" fillId="20" borderId="4" xfId="0" applyNumberFormat="1" applyFont="1" applyFill="1" applyBorder="1" applyAlignment="1" applyProtection="1">
      <alignment horizontal="right" vertical="center"/>
      <protection hidden="1"/>
    </xf>
    <xf numFmtId="3" fontId="12" fillId="17" borderId="4" xfId="0" applyNumberFormat="1" applyFont="1" applyFill="1" applyBorder="1" applyAlignment="1" applyProtection="1">
      <alignment horizontal="right" vertical="center"/>
      <protection hidden="1"/>
    </xf>
    <xf numFmtId="3" fontId="12" fillId="20" borderId="6" xfId="0" applyNumberFormat="1" applyFont="1" applyFill="1" applyBorder="1" applyAlignment="1" applyProtection="1">
      <alignment horizontal="right" vertical="center"/>
      <protection hidden="1"/>
    </xf>
    <xf numFmtId="0" fontId="4" fillId="18" borderId="18" xfId="0" applyFont="1" applyFill="1" applyBorder="1" applyAlignment="1" applyProtection="1">
      <alignment horizontal="center"/>
      <protection hidden="1"/>
    </xf>
    <xf numFmtId="165" fontId="4" fillId="18" borderId="18" xfId="0" applyNumberFormat="1" applyFont="1" applyFill="1" applyBorder="1" applyAlignment="1" applyProtection="1">
      <alignment horizontal="center"/>
      <protection hidden="1"/>
    </xf>
    <xf numFmtId="165" fontId="17" fillId="2" borderId="21" xfId="0" applyNumberFormat="1" applyFont="1" applyFill="1" applyBorder="1" applyAlignment="1" applyProtection="1">
      <alignment horizontal="center"/>
      <protection hidden="1"/>
    </xf>
    <xf numFmtId="0" fontId="8" fillId="0" borderId="17" xfId="0" applyFont="1" applyBorder="1" applyAlignment="1" applyProtection="1">
      <alignment vertical="center"/>
      <protection hidden="1"/>
    </xf>
    <xf numFmtId="165" fontId="9" fillId="19" borderId="5" xfId="0" applyNumberFormat="1" applyFont="1" applyFill="1" applyBorder="1" applyAlignment="1" applyProtection="1">
      <alignment horizontal="center" vertical="center"/>
      <protection locked="0"/>
    </xf>
    <xf numFmtId="0" fontId="9" fillId="19" borderId="5" xfId="0" applyFont="1" applyFill="1" applyBorder="1" applyAlignment="1" applyProtection="1">
      <alignment horizontal="center" vertical="center"/>
      <protection locked="0"/>
    </xf>
    <xf numFmtId="3" fontId="9" fillId="19" borderId="5" xfId="0" applyNumberFormat="1" applyFont="1" applyFill="1" applyBorder="1" applyAlignment="1" applyProtection="1">
      <alignment horizontal="center" vertical="center"/>
      <protection locked="0"/>
    </xf>
    <xf numFmtId="165" fontId="11" fillId="19" borderId="5" xfId="0" applyNumberFormat="1" applyFont="1" applyFill="1" applyBorder="1" applyAlignment="1" applyProtection="1">
      <alignment horizontal="center" shrinkToFit="1"/>
      <protection locked="0"/>
    </xf>
    <xf numFmtId="165" fontId="11" fillId="19" borderId="5" xfId="0" applyNumberFormat="1" applyFont="1" applyFill="1" applyBorder="1" applyAlignment="1" applyProtection="1">
      <alignment horizontal="center"/>
      <protection locked="0"/>
    </xf>
    <xf numFmtId="0" fontId="19" fillId="0" borderId="33" xfId="1" applyFont="1" applyBorder="1" applyAlignment="1" applyProtection="1">
      <alignment horizontal="center" vertical="center" shrinkToFit="1"/>
      <protection hidden="1"/>
    </xf>
    <xf numFmtId="165" fontId="4" fillId="0" borderId="1" xfId="0" applyNumberFormat="1" applyFont="1" applyBorder="1" applyAlignment="1">
      <alignment horizontal="center"/>
    </xf>
    <xf numFmtId="3" fontId="12" fillId="20" borderId="2" xfId="0" applyNumberFormat="1" applyFont="1" applyFill="1" applyBorder="1" applyAlignment="1" applyProtection="1">
      <alignment horizontal="right" vertical="center"/>
      <protection hidden="1"/>
    </xf>
    <xf numFmtId="165" fontId="4" fillId="0" borderId="43" xfId="0" applyNumberFormat="1" applyFont="1" applyBorder="1" applyAlignment="1">
      <alignment horizontal="center"/>
    </xf>
    <xf numFmtId="165" fontId="4" fillId="0" borderId="44" xfId="0" applyNumberFormat="1" applyFont="1" applyBorder="1" applyAlignment="1">
      <alignment horizontal="center"/>
    </xf>
    <xf numFmtId="0" fontId="4" fillId="0" borderId="44" xfId="0" applyFont="1" applyBorder="1" applyAlignment="1">
      <alignment horizontal="center"/>
    </xf>
    <xf numFmtId="0" fontId="4" fillId="0" borderId="7" xfId="0" applyFont="1" applyBorder="1" applyAlignment="1">
      <alignment horizontal="center"/>
    </xf>
    <xf numFmtId="0" fontId="4" fillId="0" borderId="4" xfId="0" applyFont="1" applyBorder="1" applyAlignment="1" applyProtection="1">
      <alignment horizontal="center"/>
      <protection hidden="1"/>
    </xf>
    <xf numFmtId="0" fontId="4" fillId="13" borderId="2" xfId="0" applyFont="1" applyFill="1" applyBorder="1" applyAlignment="1" applyProtection="1">
      <alignment horizontal="center"/>
      <protection hidden="1"/>
    </xf>
    <xf numFmtId="164" fontId="4" fillId="13" borderId="3" xfId="0" applyNumberFormat="1" applyFont="1" applyFill="1" applyBorder="1" applyAlignment="1" applyProtection="1">
      <alignment horizontal="center"/>
      <protection hidden="1"/>
    </xf>
    <xf numFmtId="165" fontId="4" fillId="0" borderId="5" xfId="0" applyNumberFormat="1" applyFont="1" applyBorder="1" applyAlignment="1" applyProtection="1">
      <alignment horizontal="center"/>
      <protection hidden="1"/>
    </xf>
    <xf numFmtId="0" fontId="4" fillId="0" borderId="6" xfId="0" applyFont="1" applyBorder="1" applyAlignment="1">
      <alignment horizontal="center"/>
    </xf>
    <xf numFmtId="0" fontId="4" fillId="0" borderId="1" xfId="0" applyFont="1" applyBorder="1" applyAlignment="1" applyProtection="1">
      <alignment horizontal="center"/>
      <protection hidden="1"/>
    </xf>
    <xf numFmtId="165" fontId="4" fillId="0" borderId="10" xfId="0" applyNumberFormat="1" applyFont="1" applyBorder="1" applyAlignment="1" applyProtection="1">
      <alignment horizontal="center"/>
      <protection hidden="1"/>
    </xf>
    <xf numFmtId="164" fontId="4" fillId="0" borderId="22" xfId="0" applyNumberFormat="1" applyFont="1" applyBorder="1" applyAlignment="1" applyProtection="1">
      <alignment horizontal="center"/>
      <protection hidden="1"/>
    </xf>
    <xf numFmtId="164" fontId="4" fillId="0" borderId="44" xfId="0" applyNumberFormat="1" applyFont="1" applyBorder="1" applyAlignment="1" applyProtection="1">
      <alignment horizontal="center"/>
      <protection hidden="1"/>
    </xf>
    <xf numFmtId="0" fontId="4" fillId="0" borderId="0" xfId="0" applyFont="1" applyBorder="1" applyAlignment="1" applyProtection="1">
      <alignment horizontal="center"/>
      <protection hidden="1"/>
    </xf>
    <xf numFmtId="3" fontId="12" fillId="29" borderId="4" xfId="0" applyNumberFormat="1" applyFont="1" applyFill="1" applyBorder="1" applyAlignment="1" applyProtection="1">
      <alignment vertical="center"/>
      <protection hidden="1"/>
    </xf>
    <xf numFmtId="164" fontId="4" fillId="0" borderId="1" xfId="0" applyNumberFormat="1" applyFont="1" applyBorder="1" applyAlignment="1">
      <alignment horizontal="center"/>
    </xf>
    <xf numFmtId="3" fontId="12" fillId="29" borderId="2" xfId="0" applyNumberFormat="1" applyFont="1" applyFill="1" applyBorder="1" applyAlignment="1" applyProtection="1">
      <alignment vertical="center"/>
      <protection hidden="1"/>
    </xf>
    <xf numFmtId="164" fontId="4" fillId="0" borderId="43" xfId="0" applyNumberFormat="1" applyFont="1" applyBorder="1" applyAlignment="1">
      <alignment horizontal="center"/>
    </xf>
    <xf numFmtId="0" fontId="4" fillId="30" borderId="6" xfId="0" applyFont="1" applyFill="1" applyBorder="1" applyAlignment="1">
      <alignment horizontal="center"/>
    </xf>
    <xf numFmtId="0" fontId="4" fillId="22" borderId="6" xfId="0" applyFont="1" applyFill="1" applyBorder="1" applyAlignment="1">
      <alignment horizontal="center"/>
    </xf>
    <xf numFmtId="165" fontId="4" fillId="0" borderId="3" xfId="0" applyNumberFormat="1" applyFont="1" applyBorder="1" applyAlignment="1">
      <alignment horizontal="center"/>
    </xf>
    <xf numFmtId="165" fontId="4" fillId="0" borderId="5" xfId="0" applyNumberFormat="1" applyFont="1" applyBorder="1" applyAlignment="1">
      <alignment horizontal="center"/>
    </xf>
    <xf numFmtId="0" fontId="5" fillId="13" borderId="59" xfId="0" applyFont="1" applyFill="1" applyBorder="1" applyAlignment="1" applyProtection="1">
      <alignment horizontal="right" shrinkToFit="1"/>
      <protection hidden="1"/>
    </xf>
    <xf numFmtId="165" fontId="9" fillId="19" borderId="14" xfId="0" applyNumberFormat="1" applyFont="1" applyFill="1" applyBorder="1" applyAlignment="1" applyProtection="1">
      <alignment horizontal="center" vertical="center"/>
      <protection locked="0"/>
    </xf>
    <xf numFmtId="9" fontId="4" fillId="0" borderId="1" xfId="0" applyNumberFormat="1" applyFont="1" applyBorder="1" applyAlignment="1" applyProtection="1">
      <alignment horizontal="center"/>
      <protection hidden="1"/>
    </xf>
    <xf numFmtId="0" fontId="4" fillId="2" borderId="7" xfId="0" applyFont="1" applyFill="1" applyBorder="1" applyAlignment="1" applyProtection="1">
      <alignment horizontal="center"/>
      <protection hidden="1"/>
    </xf>
    <xf numFmtId="0" fontId="4" fillId="7" borderId="3" xfId="0" applyFont="1" applyFill="1" applyBorder="1" applyAlignment="1" applyProtection="1">
      <alignment horizontal="center"/>
      <protection hidden="1"/>
    </xf>
    <xf numFmtId="0" fontId="4" fillId="8" borderId="7" xfId="0" applyFont="1" applyFill="1" applyBorder="1" applyAlignment="1" applyProtection="1">
      <alignment horizontal="center"/>
      <protection hidden="1"/>
    </xf>
    <xf numFmtId="0" fontId="4" fillId="0" borderId="37" xfId="0" applyFont="1" applyBorder="1" applyAlignment="1">
      <alignment horizontal="center" shrinkToFit="1"/>
    </xf>
    <xf numFmtId="0" fontId="4" fillId="0" borderId="39" xfId="0" applyFont="1" applyBorder="1" applyAlignment="1">
      <alignment horizontal="center" shrinkToFit="1"/>
    </xf>
    <xf numFmtId="0" fontId="4" fillId="0" borderId="38" xfId="0" applyFont="1" applyBorder="1" applyAlignment="1">
      <alignment horizontal="center" shrinkToFit="1"/>
    </xf>
    <xf numFmtId="0" fontId="4" fillId="0" borderId="1" xfId="0" applyFont="1" applyBorder="1" applyAlignment="1" applyProtection="1">
      <alignment horizontal="center"/>
      <protection hidden="1"/>
    </xf>
    <xf numFmtId="0" fontId="4" fillId="0" borderId="52" xfId="0" applyFont="1" applyBorder="1" applyAlignment="1" applyProtection="1">
      <alignment horizontal="center"/>
      <protection hidden="1"/>
    </xf>
    <xf numFmtId="0" fontId="4" fillId="0" borderId="9"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0" borderId="6" xfId="0" applyFont="1" applyBorder="1" applyAlignment="1" applyProtection="1">
      <alignment horizontal="center"/>
      <protection hidden="1"/>
    </xf>
    <xf numFmtId="164" fontId="4" fillId="0" borderId="50" xfId="0" applyNumberFormat="1" applyFont="1" applyBorder="1" applyAlignment="1" applyProtection="1">
      <alignment horizontal="center"/>
      <protection hidden="1"/>
    </xf>
    <xf numFmtId="165" fontId="3" fillId="0" borderId="0" xfId="0" applyNumberFormat="1" applyFont="1" applyBorder="1" applyAlignment="1" applyProtection="1">
      <alignment vertical="center"/>
      <protection hidden="1"/>
    </xf>
    <xf numFmtId="0" fontId="3" fillId="0" borderId="0" xfId="0" applyFont="1" applyBorder="1" applyAlignment="1">
      <alignment horizontal="center" vertical="center"/>
    </xf>
    <xf numFmtId="0" fontId="3" fillId="0" borderId="0" xfId="0" applyFont="1" applyBorder="1" applyAlignment="1">
      <alignment horizontal="center" vertical="center" shrinkToFit="1"/>
    </xf>
    <xf numFmtId="165" fontId="3" fillId="0" borderId="34" xfId="0" applyNumberFormat="1" applyFont="1" applyBorder="1" applyAlignment="1" applyProtection="1">
      <alignment vertical="center"/>
      <protection hidden="1"/>
    </xf>
    <xf numFmtId="0" fontId="4" fillId="35" borderId="22" xfId="0" applyFont="1" applyFill="1" applyBorder="1" applyAlignment="1" applyProtection="1">
      <alignment horizontal="center"/>
      <protection hidden="1"/>
    </xf>
    <xf numFmtId="0" fontId="4" fillId="35" borderId="0" xfId="0" applyFont="1" applyFill="1" applyBorder="1" applyAlignment="1" applyProtection="1">
      <alignment horizontal="center"/>
      <protection hidden="1"/>
    </xf>
    <xf numFmtId="0" fontId="4" fillId="31" borderId="2" xfId="0" applyFont="1" applyFill="1" applyBorder="1" applyAlignment="1" applyProtection="1">
      <alignment horizontal="center"/>
      <protection hidden="1"/>
    </xf>
    <xf numFmtId="165" fontId="4" fillId="2" borderId="3" xfId="0" applyNumberFormat="1" applyFont="1" applyFill="1" applyBorder="1" applyAlignment="1" applyProtection="1">
      <alignment horizontal="center"/>
      <protection locked="0" hidden="1"/>
    </xf>
    <xf numFmtId="0" fontId="4" fillId="31" borderId="4" xfId="0" applyFont="1" applyFill="1" applyBorder="1" applyAlignment="1" applyProtection="1">
      <alignment horizontal="center"/>
      <protection hidden="1"/>
    </xf>
    <xf numFmtId="165" fontId="4" fillId="2" borderId="5" xfId="0" applyNumberFormat="1" applyFont="1" applyFill="1" applyBorder="1" applyAlignment="1" applyProtection="1">
      <alignment horizontal="center"/>
      <protection locked="0" hidden="1"/>
    </xf>
    <xf numFmtId="0" fontId="4" fillId="31" borderId="6" xfId="0" applyFont="1" applyFill="1" applyBorder="1" applyAlignment="1" applyProtection="1">
      <alignment horizontal="center"/>
      <protection hidden="1"/>
    </xf>
    <xf numFmtId="165" fontId="4" fillId="2" borderId="7" xfId="0" applyNumberFormat="1" applyFont="1" applyFill="1" applyBorder="1" applyAlignment="1" applyProtection="1">
      <alignment horizontal="center"/>
      <protection locked="0" hidden="1"/>
    </xf>
    <xf numFmtId="0" fontId="4" fillId="29" borderId="19" xfId="0" applyFont="1" applyFill="1" applyBorder="1" applyAlignment="1" applyProtection="1">
      <alignment horizontal="center"/>
      <protection hidden="1"/>
    </xf>
    <xf numFmtId="165" fontId="4" fillId="2" borderId="21" xfId="0" applyNumberFormat="1" applyFont="1" applyFill="1" applyBorder="1" applyAlignment="1" applyProtection="1">
      <alignment horizontal="center"/>
      <protection locked="0" hidden="1"/>
    </xf>
    <xf numFmtId="0" fontId="4" fillId="29" borderId="29" xfId="0" applyFont="1" applyFill="1" applyBorder="1" applyAlignment="1" applyProtection="1">
      <alignment horizontal="center"/>
      <protection hidden="1"/>
    </xf>
    <xf numFmtId="165" fontId="4" fillId="2" borderId="55" xfId="0" applyNumberFormat="1" applyFont="1" applyFill="1" applyBorder="1" applyAlignment="1" applyProtection="1">
      <alignment horizontal="center"/>
      <protection locked="0" hidden="1"/>
    </xf>
    <xf numFmtId="0" fontId="4" fillId="32" borderId="19" xfId="0" applyFont="1" applyFill="1" applyBorder="1" applyAlignment="1" applyProtection="1">
      <alignment horizontal="center"/>
      <protection hidden="1"/>
    </xf>
    <xf numFmtId="167" fontId="4" fillId="33" borderId="21" xfId="0" applyNumberFormat="1" applyFont="1" applyFill="1" applyBorder="1" applyAlignment="1" applyProtection="1">
      <alignment horizontal="center"/>
      <protection hidden="1"/>
    </xf>
    <xf numFmtId="0" fontId="4" fillId="32" borderId="6" xfId="0" applyFont="1" applyFill="1" applyBorder="1" applyAlignment="1" applyProtection="1">
      <alignment horizontal="center"/>
      <protection hidden="1"/>
    </xf>
    <xf numFmtId="167" fontId="4" fillId="33" borderId="7" xfId="0" applyNumberFormat="1" applyFont="1" applyFill="1" applyBorder="1" applyAlignment="1" applyProtection="1">
      <alignment horizontal="center"/>
      <protection hidden="1"/>
    </xf>
    <xf numFmtId="0" fontId="4" fillId="34" borderId="2" xfId="0" applyFont="1" applyFill="1" applyBorder="1" applyAlignment="1" applyProtection="1">
      <alignment horizontal="center"/>
      <protection hidden="1"/>
    </xf>
    <xf numFmtId="0" fontId="4" fillId="34" borderId="4" xfId="0" applyFont="1" applyFill="1" applyBorder="1" applyAlignment="1" applyProtection="1">
      <alignment horizontal="center"/>
      <protection hidden="1"/>
    </xf>
    <xf numFmtId="0" fontId="4" fillId="34" borderId="6" xfId="0" applyFont="1" applyFill="1" applyBorder="1" applyAlignment="1" applyProtection="1">
      <alignment horizontal="center"/>
      <protection hidden="1"/>
    </xf>
    <xf numFmtId="0" fontId="4" fillId="35" borderId="61" xfId="0" applyFont="1" applyFill="1" applyBorder="1" applyAlignment="1" applyProtection="1">
      <alignment horizontal="center"/>
      <protection hidden="1"/>
    </xf>
    <xf numFmtId="165" fontId="4" fillId="2" borderId="62" xfId="0" applyNumberFormat="1" applyFont="1" applyFill="1" applyBorder="1" applyAlignment="1" applyProtection="1">
      <alignment horizontal="center"/>
      <protection locked="0" hidden="1"/>
    </xf>
    <xf numFmtId="0" fontId="4" fillId="18" borderId="19" xfId="0" applyFont="1" applyFill="1" applyBorder="1" applyAlignment="1" applyProtection="1">
      <alignment horizontal="center"/>
      <protection hidden="1"/>
    </xf>
    <xf numFmtId="0" fontId="4" fillId="0" borderId="16" xfId="0" applyFont="1" applyBorder="1" applyAlignment="1" applyProtection="1">
      <alignment horizontal="center"/>
      <protection hidden="1"/>
    </xf>
    <xf numFmtId="0" fontId="4" fillId="0" borderId="14" xfId="0" applyFont="1" applyBorder="1" applyAlignment="1" applyProtection="1">
      <alignment horizontal="center"/>
      <protection hidden="1"/>
    </xf>
    <xf numFmtId="164" fontId="4" fillId="0" borderId="11" xfId="0" applyNumberFormat="1" applyFont="1" applyBorder="1" applyAlignment="1" applyProtection="1">
      <alignment horizontal="center"/>
      <protection hidden="1"/>
    </xf>
    <xf numFmtId="164" fontId="4" fillId="0" borderId="59" xfId="0" applyNumberFormat="1" applyFont="1" applyBorder="1" applyAlignment="1" applyProtection="1">
      <alignment horizontal="center"/>
      <protection hidden="1"/>
    </xf>
    <xf numFmtId="0" fontId="5" fillId="4" borderId="56" xfId="0" applyFont="1" applyFill="1" applyBorder="1" applyAlignment="1" applyProtection="1">
      <alignment vertical="center" shrinkToFit="1"/>
      <protection hidden="1"/>
    </xf>
    <xf numFmtId="165" fontId="3" fillId="0" borderId="58" xfId="0" applyNumberFormat="1" applyFont="1" applyBorder="1" applyAlignment="1" applyProtection="1">
      <alignment vertical="center" shrinkToFit="1"/>
      <protection hidden="1"/>
    </xf>
    <xf numFmtId="165" fontId="3" fillId="0" borderId="58" xfId="0" applyNumberFormat="1" applyFont="1" applyBorder="1" applyAlignment="1" applyProtection="1">
      <alignment vertical="center"/>
      <protection hidden="1"/>
    </xf>
    <xf numFmtId="165" fontId="3" fillId="0" borderId="27" xfId="0" applyNumberFormat="1" applyFont="1" applyBorder="1" applyAlignment="1">
      <alignment horizontal="center" vertical="center"/>
    </xf>
    <xf numFmtId="165" fontId="3" fillId="0" borderId="63" xfId="0" applyNumberFormat="1" applyFont="1" applyBorder="1" applyAlignment="1" applyProtection="1">
      <alignment vertical="center"/>
      <protection hidden="1"/>
    </xf>
    <xf numFmtId="0" fontId="5" fillId="4" borderId="41" xfId="0" applyFont="1" applyFill="1" applyBorder="1" applyAlignment="1" applyProtection="1">
      <alignment horizontal="center" vertical="center" shrinkToFit="1"/>
      <protection hidden="1"/>
    </xf>
    <xf numFmtId="165" fontId="3" fillId="0" borderId="50" xfId="0" applyNumberFormat="1" applyFont="1" applyBorder="1" applyAlignment="1" applyProtection="1">
      <alignment horizontal="center" vertical="center" shrinkToFit="1"/>
      <protection hidden="1"/>
    </xf>
    <xf numFmtId="165" fontId="3" fillId="0" borderId="50" xfId="0" applyNumberFormat="1" applyFont="1" applyBorder="1" applyAlignment="1" applyProtection="1">
      <alignment horizontal="center" vertical="center"/>
      <protection hidden="1"/>
    </xf>
    <xf numFmtId="165" fontId="3" fillId="0" borderId="42" xfId="0" applyNumberFormat="1" applyFont="1" applyBorder="1" applyAlignment="1" applyProtection="1">
      <alignment horizontal="center" vertical="center"/>
      <protection hidden="1"/>
    </xf>
    <xf numFmtId="165" fontId="3" fillId="0" borderId="36" xfId="0" applyNumberFormat="1" applyFont="1" applyBorder="1" applyAlignment="1" applyProtection="1">
      <alignment horizontal="center" vertical="center"/>
      <protection hidden="1"/>
    </xf>
    <xf numFmtId="165" fontId="3" fillId="0" borderId="0" xfId="0" applyNumberFormat="1" applyFont="1" applyBorder="1" applyAlignment="1" applyProtection="1">
      <alignment horizontal="center" vertical="center"/>
      <protection hidden="1"/>
    </xf>
    <xf numFmtId="168" fontId="11" fillId="27" borderId="28" xfId="0" applyNumberFormat="1" applyFont="1" applyFill="1" applyBorder="1" applyAlignment="1" applyProtection="1">
      <alignment horizontal="center"/>
      <protection hidden="1"/>
    </xf>
    <xf numFmtId="0" fontId="25" fillId="36" borderId="2" xfId="0" applyFont="1" applyFill="1" applyBorder="1" applyAlignment="1">
      <alignment horizontal="center" vertical="center"/>
    </xf>
    <xf numFmtId="0" fontId="25" fillId="36" borderId="4" xfId="0" applyFont="1" applyFill="1" applyBorder="1" applyAlignment="1">
      <alignment horizontal="center" vertical="center"/>
    </xf>
    <xf numFmtId="0" fontId="25" fillId="36" borderId="6" xfId="0" applyFont="1" applyFill="1" applyBorder="1" applyAlignment="1">
      <alignment horizontal="center" vertical="center"/>
    </xf>
    <xf numFmtId="0" fontId="4" fillId="37" borderId="1" xfId="0" applyFont="1" applyFill="1" applyBorder="1" applyAlignment="1" applyProtection="1">
      <alignment horizontal="center"/>
      <protection hidden="1"/>
    </xf>
    <xf numFmtId="0" fontId="4" fillId="37" borderId="0" xfId="0" applyFont="1" applyFill="1" applyBorder="1" applyAlignment="1" applyProtection="1">
      <alignment horizontal="center"/>
      <protection hidden="1"/>
    </xf>
    <xf numFmtId="167" fontId="4" fillId="37" borderId="0" xfId="0" applyNumberFormat="1" applyFont="1" applyFill="1" applyBorder="1" applyAlignment="1" applyProtection="1">
      <alignment horizontal="center"/>
      <protection hidden="1"/>
    </xf>
    <xf numFmtId="0" fontId="27" fillId="37" borderId="1" xfId="0" applyFont="1" applyFill="1" applyBorder="1" applyAlignment="1" applyProtection="1">
      <alignment horizontal="center"/>
      <protection hidden="1"/>
    </xf>
    <xf numFmtId="167" fontId="11" fillId="6" borderId="22" xfId="0" applyNumberFormat="1" applyFont="1" applyFill="1" applyBorder="1" applyAlignment="1" applyProtection="1">
      <alignment horizontal="center"/>
      <protection hidden="1"/>
    </xf>
    <xf numFmtId="0" fontId="11" fillId="27" borderId="0" xfId="0" applyFont="1" applyFill="1" applyBorder="1" applyAlignment="1" applyProtection="1">
      <alignment horizontal="center"/>
      <protection hidden="1"/>
    </xf>
    <xf numFmtId="0" fontId="4" fillId="37" borderId="5" xfId="0" applyFont="1" applyFill="1" applyBorder="1" applyAlignment="1" applyProtection="1">
      <alignment horizontal="center"/>
      <protection hidden="1"/>
    </xf>
    <xf numFmtId="0" fontId="27" fillId="37" borderId="5" xfId="0" applyFont="1" applyFill="1" applyBorder="1" applyAlignment="1" applyProtection="1">
      <alignment horizontal="center"/>
      <protection hidden="1"/>
    </xf>
    <xf numFmtId="0" fontId="4" fillId="37" borderId="28" xfId="0" applyFont="1" applyFill="1" applyBorder="1" applyAlignment="1" applyProtection="1">
      <alignment horizontal="center"/>
      <protection hidden="1"/>
    </xf>
    <xf numFmtId="167" fontId="4" fillId="37" borderId="28" xfId="0" applyNumberFormat="1" applyFont="1" applyFill="1" applyBorder="1" applyAlignment="1" applyProtection="1">
      <alignment horizontal="center"/>
      <protection hidden="1"/>
    </xf>
    <xf numFmtId="167" fontId="11" fillId="6" borderId="14" xfId="0" applyNumberFormat="1" applyFont="1" applyFill="1" applyBorder="1" applyAlignment="1" applyProtection="1">
      <alignment horizontal="center"/>
      <protection hidden="1"/>
    </xf>
    <xf numFmtId="0" fontId="11" fillId="27" borderId="28" xfId="0" applyFont="1" applyFill="1" applyBorder="1" applyAlignment="1" applyProtection="1">
      <alignment horizontal="center"/>
      <protection hidden="1"/>
    </xf>
    <xf numFmtId="164" fontId="11" fillId="27" borderId="0" xfId="0" applyNumberFormat="1" applyFont="1" applyFill="1" applyBorder="1" applyAlignment="1" applyProtection="1">
      <alignment horizontal="center"/>
      <protection hidden="1"/>
    </xf>
    <xf numFmtId="9" fontId="11" fillId="27" borderId="0" xfId="0" applyNumberFormat="1" applyFont="1" applyFill="1" applyBorder="1" applyAlignment="1" applyProtection="1">
      <alignment horizontal="center"/>
      <protection hidden="1"/>
    </xf>
    <xf numFmtId="167" fontId="11" fillId="6" borderId="28" xfId="0" applyNumberFormat="1" applyFont="1" applyFill="1" applyBorder="1" applyAlignment="1" applyProtection="1">
      <alignment horizontal="center"/>
      <protection hidden="1"/>
    </xf>
    <xf numFmtId="0" fontId="4" fillId="27" borderId="28" xfId="0" applyFont="1" applyFill="1" applyBorder="1" applyAlignment="1" applyProtection="1">
      <alignment horizontal="center"/>
      <protection hidden="1"/>
    </xf>
    <xf numFmtId="0" fontId="0" fillId="27" borderId="17" xfId="0" applyFill="1" applyBorder="1"/>
    <xf numFmtId="0" fontId="0" fillId="27" borderId="30" xfId="0" applyFill="1" applyBorder="1"/>
    <xf numFmtId="0" fontId="0" fillId="27" borderId="29" xfId="0" applyFill="1" applyBorder="1"/>
    <xf numFmtId="0" fontId="4" fillId="27" borderId="27" xfId="0" applyFont="1" applyFill="1" applyBorder="1" applyAlignment="1" applyProtection="1">
      <alignment horizontal="center"/>
      <protection hidden="1"/>
    </xf>
    <xf numFmtId="0" fontId="4" fillId="27" borderId="25" xfId="0" applyFont="1" applyFill="1" applyBorder="1" applyAlignment="1" applyProtection="1">
      <alignment horizontal="center"/>
      <protection hidden="1"/>
    </xf>
    <xf numFmtId="0" fontId="4" fillId="27" borderId="24" xfId="0" applyFont="1" applyFill="1" applyBorder="1" applyAlignment="1" applyProtection="1">
      <alignment horizontal="center"/>
      <protection hidden="1"/>
    </xf>
    <xf numFmtId="167" fontId="4" fillId="27" borderId="0" xfId="0" applyNumberFormat="1" applyFont="1" applyFill="1" applyBorder="1" applyAlignment="1" applyProtection="1">
      <alignment horizontal="center"/>
      <protection hidden="1"/>
    </xf>
    <xf numFmtId="168" fontId="4" fillId="27" borderId="0" xfId="0" applyNumberFormat="1" applyFont="1" applyFill="1" applyBorder="1" applyAlignment="1" applyProtection="1">
      <alignment horizontal="center"/>
      <protection hidden="1"/>
    </xf>
    <xf numFmtId="0" fontId="3" fillId="27" borderId="0" xfId="0" applyFont="1" applyFill="1" applyProtection="1">
      <protection hidden="1"/>
    </xf>
    <xf numFmtId="0" fontId="3" fillId="27" borderId="25" xfId="0" applyFont="1" applyFill="1" applyBorder="1" applyAlignment="1" applyProtection="1">
      <protection hidden="1"/>
    </xf>
    <xf numFmtId="9" fontId="4" fillId="0" borderId="0" xfId="0" applyNumberFormat="1" applyFont="1" applyAlignment="1">
      <alignment horizontal="center"/>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14" borderId="4" xfId="0" applyFont="1" applyFill="1" applyBorder="1" applyAlignment="1" applyProtection="1">
      <alignment horizontal="center"/>
      <protection hidden="1"/>
    </xf>
    <xf numFmtId="0" fontId="4" fillId="14" borderId="6" xfId="0" applyFont="1" applyFill="1" applyBorder="1" applyAlignment="1" applyProtection="1">
      <alignment horizontal="center" shrinkToFit="1"/>
      <protection hidden="1"/>
    </xf>
    <xf numFmtId="164" fontId="4" fillId="15" borderId="58" xfId="0" applyNumberFormat="1" applyFont="1" applyFill="1" applyBorder="1" applyAlignment="1" applyProtection="1">
      <alignment horizontal="center"/>
      <protection hidden="1"/>
    </xf>
    <xf numFmtId="164" fontId="4" fillId="15" borderId="63" xfId="0" applyNumberFormat="1" applyFont="1" applyFill="1" applyBorder="1" applyAlignment="1" applyProtection="1">
      <alignment horizontal="center"/>
      <protection hidden="1"/>
    </xf>
    <xf numFmtId="164" fontId="4" fillId="15" borderId="26" xfId="0" applyNumberFormat="1" applyFont="1" applyFill="1" applyBorder="1" applyAlignment="1" applyProtection="1">
      <alignment horizontal="center"/>
      <protection hidden="1"/>
    </xf>
    <xf numFmtId="164" fontId="4" fillId="9" borderId="58" xfId="0" applyNumberFormat="1" applyFont="1" applyFill="1" applyBorder="1" applyAlignment="1" applyProtection="1">
      <alignment horizontal="center"/>
      <protection hidden="1"/>
    </xf>
    <xf numFmtId="0" fontId="0" fillId="27" borderId="27" xfId="0" applyFill="1" applyBorder="1"/>
    <xf numFmtId="0" fontId="0" fillId="27" borderId="0" xfId="0" applyFill="1" applyBorder="1"/>
    <xf numFmtId="0" fontId="0" fillId="27" borderId="28" xfId="0" applyFill="1" applyBorder="1"/>
    <xf numFmtId="2" fontId="4" fillId="8" borderId="21" xfId="0" applyNumberFormat="1" applyFont="1" applyFill="1" applyBorder="1" applyAlignment="1" applyProtection="1">
      <alignment horizontal="center"/>
      <protection hidden="1"/>
    </xf>
    <xf numFmtId="0" fontId="4" fillId="35" borderId="19" xfId="0" applyFont="1" applyFill="1" applyBorder="1" applyAlignment="1" applyProtection="1">
      <alignment horizontal="center" shrinkToFit="1"/>
      <protection hidden="1"/>
    </xf>
    <xf numFmtId="0" fontId="4" fillId="35" borderId="47" xfId="0" applyFont="1" applyFill="1" applyBorder="1" applyAlignment="1" applyProtection="1">
      <alignment horizontal="center" shrinkToFit="1"/>
      <protection hidden="1"/>
    </xf>
    <xf numFmtId="0" fontId="11" fillId="6" borderId="21" xfId="0"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protection hidden="1"/>
    </xf>
    <xf numFmtId="164" fontId="4" fillId="14" borderId="15" xfId="0" applyNumberFormat="1" applyFont="1" applyFill="1" applyBorder="1" applyAlignment="1" applyProtection="1">
      <alignment horizontal="center" shrinkToFit="1"/>
      <protection hidden="1"/>
    </xf>
    <xf numFmtId="0" fontId="5" fillId="22" borderId="19" xfId="0" applyFont="1" applyFill="1" applyBorder="1" applyAlignment="1">
      <alignment horizontal="center" vertical="center"/>
    </xf>
    <xf numFmtId="0" fontId="5" fillId="22" borderId="20" xfId="0" applyFont="1" applyFill="1" applyBorder="1" applyAlignment="1">
      <alignment horizontal="center" vertical="center"/>
    </xf>
    <xf numFmtId="0" fontId="5" fillId="22" borderId="21" xfId="0" applyFont="1" applyFill="1" applyBorder="1" applyAlignment="1">
      <alignment horizontal="center" vertical="center"/>
    </xf>
    <xf numFmtId="0" fontId="4" fillId="37" borderId="18" xfId="0" applyFont="1" applyFill="1" applyBorder="1" applyAlignment="1" applyProtection="1">
      <alignment horizontal="center"/>
      <protection hidden="1"/>
    </xf>
    <xf numFmtId="0" fontId="4" fillId="0" borderId="66" xfId="0" applyFont="1" applyBorder="1" applyAlignment="1" applyProtection="1">
      <alignment horizontal="center"/>
      <protection hidden="1"/>
    </xf>
    <xf numFmtId="0" fontId="4" fillId="37" borderId="16" xfId="0" applyFont="1" applyFill="1" applyBorder="1" applyAlignment="1" applyProtection="1">
      <alignment horizontal="center"/>
      <protection hidden="1"/>
    </xf>
    <xf numFmtId="164" fontId="4" fillId="15" borderId="65" xfId="0" applyNumberFormat="1" applyFont="1" applyFill="1" applyBorder="1" applyAlignment="1" applyProtection="1">
      <alignment horizontal="center"/>
      <protection hidden="1"/>
    </xf>
    <xf numFmtId="3" fontId="12" fillId="17" borderId="13" xfId="0" applyNumberFormat="1" applyFont="1" applyFill="1" applyBorder="1" applyAlignment="1" applyProtection="1">
      <alignment horizontal="right" vertical="center"/>
      <protection hidden="1"/>
    </xf>
    <xf numFmtId="3" fontId="5" fillId="17" borderId="22" xfId="0" applyNumberFormat="1" applyFont="1" applyFill="1" applyBorder="1" applyAlignment="1" applyProtection="1">
      <alignment horizontal="center" vertical="center"/>
      <protection hidden="1"/>
    </xf>
    <xf numFmtId="0" fontId="4" fillId="17" borderId="22" xfId="0" applyFont="1" applyFill="1" applyBorder="1" applyAlignment="1" applyProtection="1">
      <alignment horizontal="center"/>
      <protection hidden="1"/>
    </xf>
    <xf numFmtId="3" fontId="5" fillId="17" borderId="14" xfId="0" applyNumberFormat="1" applyFont="1" applyFill="1" applyBorder="1" applyAlignment="1" applyProtection="1">
      <alignment horizontal="center" vertical="center"/>
      <protection hidden="1"/>
    </xf>
    <xf numFmtId="3" fontId="12" fillId="39" borderId="19" xfId="0" applyNumberFormat="1" applyFont="1" applyFill="1" applyBorder="1" applyAlignment="1" applyProtection="1">
      <alignment horizontal="center" vertical="center"/>
      <protection hidden="1"/>
    </xf>
    <xf numFmtId="3" fontId="4" fillId="8" borderId="21" xfId="0" applyNumberFormat="1" applyFont="1" applyFill="1" applyBorder="1" applyAlignment="1" applyProtection="1">
      <alignment horizontal="center"/>
      <protection hidden="1"/>
    </xf>
    <xf numFmtId="3" fontId="29" fillId="40" borderId="19" xfId="0" applyNumberFormat="1" applyFont="1" applyFill="1" applyBorder="1" applyAlignment="1" applyProtection="1">
      <alignment horizontal="center" vertical="center"/>
      <protection hidden="1"/>
    </xf>
    <xf numFmtId="3" fontId="11" fillId="6" borderId="21" xfId="0" applyNumberFormat="1" applyFont="1" applyFill="1" applyBorder="1" applyAlignment="1" applyProtection="1">
      <alignment horizontal="center"/>
      <protection hidden="1"/>
    </xf>
    <xf numFmtId="0" fontId="4" fillId="0" borderId="1"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35" borderId="0" xfId="0" applyFont="1" applyFill="1" applyBorder="1" applyAlignment="1" applyProtection="1">
      <alignment horizontal="center" shrinkToFit="1"/>
      <protection hidden="1"/>
    </xf>
    <xf numFmtId="0" fontId="4" fillId="27" borderId="0" xfId="0" applyFont="1" applyFill="1" applyBorder="1" applyAlignment="1" applyProtection="1">
      <alignment horizontal="center"/>
      <protection hidden="1"/>
    </xf>
    <xf numFmtId="0" fontId="4" fillId="9" borderId="47" xfId="0" applyFont="1" applyFill="1" applyBorder="1" applyAlignment="1">
      <alignment horizontal="center"/>
    </xf>
    <xf numFmtId="3" fontId="4" fillId="9" borderId="49" xfId="0" applyNumberFormat="1" applyFont="1" applyFill="1" applyBorder="1" applyAlignment="1">
      <alignment horizontal="center"/>
    </xf>
    <xf numFmtId="0" fontId="4" fillId="26" borderId="2" xfId="0" applyFont="1" applyFill="1" applyBorder="1" applyAlignment="1" applyProtection="1">
      <alignment horizontal="center"/>
      <protection hidden="1"/>
    </xf>
    <xf numFmtId="0" fontId="4" fillId="26" borderId="43" xfId="0" applyFont="1" applyFill="1" applyBorder="1" applyAlignment="1" applyProtection="1">
      <alignment horizontal="center"/>
      <protection hidden="1"/>
    </xf>
    <xf numFmtId="0" fontId="4" fillId="26" borderId="3" xfId="0" applyFont="1" applyFill="1" applyBorder="1" applyAlignment="1" applyProtection="1">
      <alignment horizontal="center"/>
      <protection hidden="1"/>
    </xf>
    <xf numFmtId="0" fontId="4" fillId="26" borderId="7" xfId="0" applyFont="1" applyFill="1" applyBorder="1" applyAlignment="1">
      <alignment horizontal="center"/>
    </xf>
    <xf numFmtId="0" fontId="0" fillId="0" borderId="24" xfId="0" applyBorder="1"/>
    <xf numFmtId="0" fontId="0" fillId="0" borderId="26" xfId="0" applyBorder="1"/>
    <xf numFmtId="3" fontId="15" fillId="41" borderId="55" xfId="0" applyNumberFormat="1" applyFont="1" applyFill="1" applyBorder="1" applyAlignment="1">
      <alignment horizontal="center" vertical="center"/>
    </xf>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3" fontId="5" fillId="0" borderId="7" xfId="0" applyNumberFormat="1" applyFont="1" applyBorder="1" applyAlignment="1">
      <alignment horizontal="center" vertical="center"/>
    </xf>
    <xf numFmtId="0" fontId="5" fillId="41" borderId="49" xfId="0" applyFont="1" applyFill="1" applyBorder="1" applyAlignment="1">
      <alignment horizontal="center" vertical="center"/>
    </xf>
    <xf numFmtId="0" fontId="0" fillId="0" borderId="25" xfId="0" applyBorder="1"/>
    <xf numFmtId="165" fontId="30" fillId="13" borderId="37" xfId="0" applyNumberFormat="1" applyFont="1" applyFill="1" applyBorder="1" applyAlignment="1" applyProtection="1">
      <alignment horizontal="center" vertical="center"/>
      <protection hidden="1"/>
    </xf>
    <xf numFmtId="165" fontId="34" fillId="5" borderId="21" xfId="0" applyNumberFormat="1" applyFont="1" applyFill="1" applyBorder="1" applyAlignment="1" applyProtection="1">
      <alignment horizontal="center" vertical="center"/>
      <protection hidden="1"/>
    </xf>
    <xf numFmtId="165" fontId="34" fillId="17" borderId="23" xfId="0" applyNumberFormat="1" applyFont="1" applyFill="1" applyBorder="1" applyAlignment="1" applyProtection="1">
      <alignment horizontal="center" vertical="center"/>
      <protection hidden="1"/>
    </xf>
    <xf numFmtId="165" fontId="30" fillId="13" borderId="39" xfId="0" applyNumberFormat="1" applyFont="1" applyFill="1" applyBorder="1" applyAlignment="1" applyProtection="1">
      <alignment horizontal="center" vertical="center"/>
      <protection hidden="1"/>
    </xf>
    <xf numFmtId="165" fontId="30" fillId="13" borderId="38" xfId="0" applyNumberFormat="1" applyFont="1" applyFill="1" applyBorder="1" applyAlignment="1" applyProtection="1">
      <alignment horizontal="center" vertical="center"/>
      <protection hidden="1"/>
    </xf>
    <xf numFmtId="0" fontId="7" fillId="17" borderId="23" xfId="0" applyFont="1" applyFill="1" applyBorder="1" applyAlignment="1" applyProtection="1">
      <alignment horizontal="center" vertical="center" shrinkToFit="1"/>
      <protection hidden="1"/>
    </xf>
    <xf numFmtId="167" fontId="4" fillId="0" borderId="38" xfId="0" applyNumberFormat="1" applyFont="1" applyBorder="1" applyAlignment="1" applyProtection="1">
      <alignment horizontal="center" vertical="center"/>
      <protection locked="0"/>
    </xf>
    <xf numFmtId="0" fontId="35" fillId="14" borderId="28" xfId="0" applyFont="1" applyFill="1" applyBorder="1" applyAlignment="1" applyProtection="1">
      <alignment horizontal="center"/>
      <protection hidden="1"/>
    </xf>
    <xf numFmtId="0" fontId="35" fillId="14" borderId="26" xfId="0" applyFont="1" applyFill="1" applyBorder="1" applyAlignment="1" applyProtection="1">
      <alignment horizontal="center"/>
      <protection hidden="1"/>
    </xf>
    <xf numFmtId="0" fontId="15" fillId="13" borderId="4" xfId="0" applyFont="1" applyFill="1" applyBorder="1" applyAlignment="1" applyProtection="1">
      <alignment horizontal="right" shrinkToFit="1"/>
      <protection hidden="1"/>
    </xf>
    <xf numFmtId="0" fontId="15" fillId="13" borderId="6" xfId="0" applyFont="1" applyFill="1" applyBorder="1" applyAlignment="1" applyProtection="1">
      <alignment horizontal="right" shrinkToFit="1"/>
      <protection hidden="1"/>
    </xf>
    <xf numFmtId="165" fontId="15" fillId="2" borderId="10" xfId="0" applyNumberFormat="1"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164" fontId="15" fillId="2" borderId="10" xfId="0" applyNumberFormat="1" applyFont="1" applyFill="1" applyBorder="1" applyAlignment="1" applyProtection="1">
      <alignment horizontal="center" vertical="center"/>
      <protection locked="0"/>
    </xf>
    <xf numFmtId="166" fontId="15" fillId="2" borderId="10" xfId="0" applyNumberFormat="1" applyFont="1" applyFill="1" applyBorder="1" applyAlignment="1" applyProtection="1">
      <alignment horizontal="center" vertical="center"/>
      <protection locked="0"/>
    </xf>
    <xf numFmtId="164" fontId="15" fillId="2" borderId="8" xfId="0" applyNumberFormat="1" applyFont="1" applyFill="1" applyBorder="1" applyAlignment="1" applyProtection="1">
      <alignment horizontal="center" vertical="center"/>
      <protection locked="0"/>
    </xf>
    <xf numFmtId="0" fontId="36" fillId="13" borderId="2" xfId="0" applyFont="1" applyFill="1" applyBorder="1" applyAlignment="1" applyProtection="1">
      <alignment horizontal="center" vertical="center" shrinkToFit="1"/>
      <protection hidden="1"/>
    </xf>
    <xf numFmtId="0" fontId="36" fillId="13" borderId="4" xfId="0" applyFont="1" applyFill="1" applyBorder="1" applyAlignment="1" applyProtection="1">
      <alignment horizontal="center" vertical="center" shrinkToFit="1"/>
      <protection hidden="1"/>
    </xf>
    <xf numFmtId="0" fontId="36" fillId="13" borderId="6" xfId="0" applyFont="1" applyFill="1" applyBorder="1" applyAlignment="1" applyProtection="1">
      <alignment horizontal="center" vertical="center" shrinkToFit="1"/>
      <protection hidden="1"/>
    </xf>
    <xf numFmtId="0" fontId="15" fillId="2" borderId="5" xfId="0" applyFont="1" applyFill="1" applyBorder="1" applyAlignment="1" applyProtection="1">
      <alignment horizontal="center" vertical="center"/>
      <protection locked="0"/>
    </xf>
    <xf numFmtId="164" fontId="15" fillId="2" borderId="5" xfId="0" applyNumberFormat="1" applyFont="1" applyFill="1" applyBorder="1" applyAlignment="1" applyProtection="1">
      <alignment horizontal="center" vertical="center"/>
      <protection locked="0"/>
    </xf>
    <xf numFmtId="166" fontId="15" fillId="2" borderId="5" xfId="0" applyNumberFormat="1" applyFont="1" applyFill="1" applyBorder="1" applyAlignment="1" applyProtection="1">
      <alignment horizontal="center" vertical="center"/>
      <protection locked="0"/>
    </xf>
    <xf numFmtId="0" fontId="15" fillId="2" borderId="5" xfId="0" applyFont="1" applyFill="1" applyBorder="1" applyAlignment="1" applyProtection="1">
      <alignment horizontal="center" vertical="center" shrinkToFit="1"/>
      <protection locked="0"/>
    </xf>
    <xf numFmtId="167" fontId="15" fillId="2" borderId="5" xfId="0" applyNumberFormat="1" applyFont="1" applyFill="1" applyBorder="1" applyAlignment="1" applyProtection="1">
      <alignment horizontal="center" vertical="center"/>
      <protection locked="0"/>
    </xf>
    <xf numFmtId="2" fontId="15" fillId="2" borderId="5" xfId="0" applyNumberFormat="1" applyFont="1" applyFill="1" applyBorder="1" applyAlignment="1" applyProtection="1">
      <alignment horizontal="center" vertical="center"/>
      <protection locked="0"/>
    </xf>
    <xf numFmtId="0" fontId="15" fillId="2" borderId="7" xfId="0" applyNumberFormat="1" applyFont="1" applyFill="1" applyBorder="1" applyAlignment="1" applyProtection="1">
      <alignment horizontal="center" vertical="center" shrinkToFit="1"/>
      <protection locked="0"/>
    </xf>
    <xf numFmtId="0" fontId="3" fillId="14" borderId="26" xfId="0" applyFont="1" applyFill="1" applyBorder="1" applyProtection="1">
      <protection hidden="1"/>
    </xf>
    <xf numFmtId="0" fontId="3" fillId="14" borderId="28" xfId="0" applyFont="1" applyFill="1" applyBorder="1" applyProtection="1">
      <protection hidden="1"/>
    </xf>
    <xf numFmtId="0" fontId="0" fillId="27" borderId="0" xfId="0" applyFill="1" applyProtection="1">
      <protection locked="0"/>
    </xf>
    <xf numFmtId="2" fontId="37" fillId="42" borderId="3" xfId="0" applyNumberFormat="1" applyFont="1" applyFill="1" applyBorder="1" applyAlignment="1" applyProtection="1">
      <alignment horizontal="center" vertical="center"/>
      <protection hidden="1"/>
    </xf>
    <xf numFmtId="165" fontId="37" fillId="42" borderId="5" xfId="0" applyNumberFormat="1" applyFont="1" applyFill="1" applyBorder="1" applyAlignment="1" applyProtection="1">
      <alignment horizontal="center" vertical="center"/>
      <protection hidden="1"/>
    </xf>
    <xf numFmtId="165" fontId="37" fillId="42" borderId="7" xfId="0" applyNumberFormat="1" applyFont="1" applyFill="1" applyBorder="1" applyAlignment="1" applyProtection="1">
      <alignment horizontal="center" vertical="center"/>
      <protection hidden="1"/>
    </xf>
    <xf numFmtId="165" fontId="37" fillId="42" borderId="3" xfId="0" applyNumberFormat="1" applyFont="1" applyFill="1" applyBorder="1" applyAlignment="1" applyProtection="1">
      <alignment horizontal="center" vertical="center"/>
      <protection hidden="1"/>
    </xf>
    <xf numFmtId="2" fontId="37" fillId="42" borderId="5" xfId="0" applyNumberFormat="1" applyFont="1" applyFill="1" applyBorder="1" applyAlignment="1" applyProtection="1">
      <alignment horizontal="center" vertical="center"/>
      <protection hidden="1"/>
    </xf>
    <xf numFmtId="0" fontId="22" fillId="14" borderId="28" xfId="0" applyFont="1" applyFill="1" applyBorder="1" applyAlignment="1" applyProtection="1">
      <alignment horizontal="center"/>
      <protection hidden="1"/>
    </xf>
    <xf numFmtId="0" fontId="15" fillId="13" borderId="15" xfId="0" applyFont="1" applyFill="1" applyBorder="1" applyAlignment="1" applyProtection="1">
      <alignment horizontal="right" shrinkToFit="1"/>
      <protection hidden="1"/>
    </xf>
    <xf numFmtId="0" fontId="15" fillId="2" borderId="45" xfId="0" applyFont="1" applyFill="1" applyBorder="1" applyAlignment="1" applyProtection="1">
      <alignment horizontal="center" vertical="center" shrinkToFit="1"/>
      <protection locked="0"/>
    </xf>
    <xf numFmtId="166" fontId="15" fillId="2" borderId="16" xfId="0" applyNumberFormat="1" applyFont="1" applyFill="1" applyBorder="1" applyAlignment="1" applyProtection="1">
      <alignment horizontal="center" vertical="center"/>
      <protection locked="0"/>
    </xf>
    <xf numFmtId="0" fontId="5" fillId="13" borderId="15" xfId="0" applyFont="1" applyFill="1" applyBorder="1" applyAlignment="1" applyProtection="1">
      <alignment horizontal="right" shrinkToFit="1"/>
      <protection hidden="1"/>
    </xf>
    <xf numFmtId="0" fontId="9" fillId="19" borderId="16" xfId="0" applyFont="1" applyFill="1" applyBorder="1" applyAlignment="1" applyProtection="1">
      <alignment horizontal="center" vertical="center"/>
      <protection locked="0"/>
    </xf>
    <xf numFmtId="165" fontId="5" fillId="2" borderId="16" xfId="0" applyNumberFormat="1" applyFont="1" applyFill="1" applyBorder="1" applyAlignment="1" applyProtection="1">
      <alignment horizontal="center" vertical="center"/>
      <protection locked="0" hidden="1"/>
    </xf>
    <xf numFmtId="0" fontId="23" fillId="11" borderId="34" xfId="0" applyFont="1" applyFill="1" applyBorder="1" applyAlignment="1" applyProtection="1">
      <alignment vertical="center"/>
      <protection hidden="1"/>
    </xf>
    <xf numFmtId="0" fontId="0" fillId="27" borderId="0" xfId="0" applyFill="1" applyProtection="1">
      <protection hidden="1"/>
    </xf>
    <xf numFmtId="0" fontId="0" fillId="27" borderId="0" xfId="0" applyFill="1" applyAlignment="1" applyProtection="1">
      <alignment horizontal="center" vertical="center"/>
      <protection locked="0"/>
    </xf>
    <xf numFmtId="0" fontId="32" fillId="17" borderId="23" xfId="0" applyFont="1" applyFill="1" applyBorder="1" applyAlignment="1" applyProtection="1">
      <alignment horizontal="center" vertical="center" wrapText="1"/>
      <protection hidden="1"/>
    </xf>
    <xf numFmtId="0" fontId="0" fillId="27" borderId="0" xfId="0" applyFill="1" applyBorder="1" applyAlignment="1" applyProtection="1">
      <alignment horizontal="center" vertical="center"/>
      <protection locked="0"/>
    </xf>
    <xf numFmtId="0" fontId="48" fillId="27" borderId="39" xfId="0" applyFont="1" applyFill="1" applyBorder="1" applyAlignment="1" applyProtection="1">
      <alignment vertical="center"/>
      <protection locked="0"/>
    </xf>
    <xf numFmtId="0" fontId="48" fillId="27" borderId="38" xfId="0" applyFont="1" applyFill="1" applyBorder="1" applyAlignment="1" applyProtection="1">
      <alignment vertical="center"/>
      <protection locked="0"/>
    </xf>
    <xf numFmtId="0" fontId="48" fillId="27" borderId="67" xfId="0" applyFont="1" applyFill="1" applyBorder="1" applyAlignment="1" applyProtection="1">
      <alignment vertical="center"/>
      <protection locked="0"/>
    </xf>
    <xf numFmtId="0" fontId="44" fillId="27" borderId="0" xfId="0" applyFont="1" applyFill="1" applyBorder="1" applyAlignment="1" applyProtection="1">
      <alignment horizontal="center" vertical="center"/>
      <protection locked="0"/>
    </xf>
    <xf numFmtId="0" fontId="43" fillId="27" borderId="0" xfId="0" applyFont="1" applyFill="1" applyBorder="1" applyAlignment="1" applyProtection="1">
      <alignment horizontal="center" vertical="center"/>
      <protection locked="0"/>
    </xf>
    <xf numFmtId="0" fontId="33" fillId="27" borderId="0" xfId="0" applyFont="1" applyFill="1" applyBorder="1" applyAlignment="1" applyProtection="1">
      <alignment horizontal="center" vertical="center" shrinkToFit="1"/>
      <protection hidden="1"/>
    </xf>
    <xf numFmtId="165" fontId="34" fillId="27" borderId="0" xfId="0" applyNumberFormat="1" applyFont="1" applyFill="1" applyBorder="1" applyAlignment="1" applyProtection="1">
      <alignment horizontal="center" vertical="center"/>
      <protection hidden="1"/>
    </xf>
    <xf numFmtId="0" fontId="42" fillId="27" borderId="25" xfId="1" applyFont="1" applyFill="1" applyBorder="1" applyAlignment="1" applyProtection="1">
      <protection hidden="1"/>
    </xf>
    <xf numFmtId="0" fontId="49" fillId="3" borderId="67" xfId="0" applyFont="1" applyFill="1" applyBorder="1" applyAlignment="1" applyProtection="1">
      <alignment horizontal="center" vertical="center"/>
      <protection locked="0"/>
    </xf>
    <xf numFmtId="0" fontId="49" fillId="3" borderId="33" xfId="0" applyFont="1" applyFill="1" applyBorder="1" applyAlignment="1" applyProtection="1">
      <alignment horizontal="center" vertical="center"/>
      <protection locked="0"/>
    </xf>
    <xf numFmtId="0" fontId="0" fillId="27" borderId="0" xfId="0" applyFill="1" applyAlignment="1" applyProtection="1">
      <protection locked="0"/>
    </xf>
    <xf numFmtId="0" fontId="51" fillId="27" borderId="17" xfId="1" applyFont="1" applyFill="1" applyBorder="1" applyAlignment="1" applyProtection="1">
      <alignment vertical="center"/>
      <protection hidden="1"/>
    </xf>
    <xf numFmtId="0" fontId="52" fillId="27" borderId="0" xfId="0" applyFont="1" applyFill="1" applyProtection="1">
      <protection locked="0"/>
    </xf>
    <xf numFmtId="0" fontId="10" fillId="27" borderId="17" xfId="1" applyFill="1" applyBorder="1" applyAlignment="1" applyProtection="1">
      <alignment vertical="center"/>
      <protection hidden="1"/>
    </xf>
    <xf numFmtId="0" fontId="3" fillId="14" borderId="30" xfId="0" applyFont="1" applyFill="1" applyBorder="1" applyProtection="1">
      <protection hidden="1"/>
    </xf>
    <xf numFmtId="0" fontId="10" fillId="11" borderId="34" xfId="1" applyFill="1" applyBorder="1" applyAlignment="1" applyProtection="1">
      <alignment horizontal="center" vertical="center"/>
      <protection hidden="1"/>
    </xf>
    <xf numFmtId="0" fontId="53" fillId="2" borderId="23" xfId="0" applyFont="1" applyFill="1" applyBorder="1" applyAlignment="1" applyProtection="1">
      <alignment horizontal="center" vertical="center"/>
      <protection locked="0"/>
    </xf>
    <xf numFmtId="0" fontId="3" fillId="0" borderId="0" xfId="0" applyFont="1" applyFill="1" applyAlignment="1" applyProtection="1">
      <alignment horizontal="center"/>
      <protection hidden="1"/>
    </xf>
    <xf numFmtId="0" fontId="3" fillId="0" borderId="0" xfId="0" applyFont="1" applyFill="1" applyProtection="1">
      <protection hidden="1"/>
    </xf>
    <xf numFmtId="0" fontId="0" fillId="0" borderId="0" xfId="0" applyFill="1" applyProtection="1">
      <protection locked="0"/>
    </xf>
    <xf numFmtId="0" fontId="0" fillId="0" borderId="0" xfId="0" applyFill="1" applyAlignment="1" applyProtection="1">
      <alignment horizontal="center" vertical="center"/>
      <protection locked="0"/>
    </xf>
    <xf numFmtId="0" fontId="0" fillId="0" borderId="0" xfId="0" applyFill="1" applyProtection="1">
      <protection hidden="1"/>
    </xf>
    <xf numFmtId="0" fontId="0" fillId="0" borderId="0" xfId="0" applyFill="1"/>
    <xf numFmtId="0" fontId="4"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horizontal="center" vertical="center" shrinkToFit="1"/>
    </xf>
    <xf numFmtId="0" fontId="32" fillId="11" borderId="37" xfId="0" applyFont="1" applyFill="1" applyBorder="1" applyAlignment="1" applyProtection="1">
      <alignment horizontal="right" vertical="center" shrinkToFit="1"/>
      <protection hidden="1"/>
    </xf>
    <xf numFmtId="0" fontId="32" fillId="11" borderId="39" xfId="0" applyFont="1" applyFill="1" applyBorder="1" applyAlignment="1" applyProtection="1">
      <alignment horizontal="right" vertical="center" shrinkToFit="1"/>
      <protection hidden="1"/>
    </xf>
    <xf numFmtId="0" fontId="32" fillId="11" borderId="57" xfId="0" applyFont="1" applyFill="1" applyBorder="1" applyAlignment="1" applyProtection="1">
      <alignment horizontal="right" vertical="center" shrinkToFit="1"/>
      <protection hidden="1"/>
    </xf>
    <xf numFmtId="0" fontId="32" fillId="11" borderId="38" xfId="0" applyFont="1" applyFill="1" applyBorder="1" applyAlignment="1" applyProtection="1">
      <alignment horizontal="right" vertical="center" shrinkToFit="1"/>
      <protection hidden="1"/>
    </xf>
    <xf numFmtId="165" fontId="30" fillId="17" borderId="37" xfId="0" applyNumberFormat="1" applyFont="1" applyFill="1" applyBorder="1" applyAlignment="1" applyProtection="1">
      <alignment horizontal="center" vertical="center"/>
      <protection hidden="1"/>
    </xf>
    <xf numFmtId="165" fontId="30" fillId="17" borderId="67" xfId="0" applyNumberFormat="1" applyFont="1" applyFill="1" applyBorder="1" applyAlignment="1" applyProtection="1">
      <alignment horizontal="center" vertical="center"/>
      <protection hidden="1"/>
    </xf>
    <xf numFmtId="165" fontId="30" fillId="17" borderId="39" xfId="0" applyNumberFormat="1" applyFont="1" applyFill="1" applyBorder="1" applyAlignment="1" applyProtection="1">
      <alignment horizontal="center" vertical="center"/>
      <protection hidden="1"/>
    </xf>
    <xf numFmtId="165" fontId="30" fillId="17" borderId="38" xfId="0" applyNumberFormat="1" applyFont="1" applyFill="1" applyBorder="1" applyAlignment="1" applyProtection="1">
      <alignment horizontal="center" vertical="center"/>
      <protection hidden="1"/>
    </xf>
    <xf numFmtId="0" fontId="32" fillId="13" borderId="31" xfId="0" applyFont="1" applyFill="1" applyBorder="1" applyAlignment="1" applyProtection="1">
      <alignment horizontal="center" vertical="center" wrapText="1"/>
      <protection hidden="1"/>
    </xf>
    <xf numFmtId="0" fontId="32" fillId="44" borderId="24" xfId="0" applyFont="1" applyFill="1" applyBorder="1" applyAlignment="1" applyProtection="1">
      <alignment horizontal="center" vertical="center"/>
      <protection hidden="1"/>
    </xf>
    <xf numFmtId="166" fontId="30" fillId="0" borderId="41" xfId="0" applyNumberFormat="1" applyFont="1" applyFill="1" applyBorder="1" applyAlignment="1" applyProtection="1">
      <alignment horizontal="center" vertical="center"/>
      <protection hidden="1"/>
    </xf>
    <xf numFmtId="166" fontId="30" fillId="0" borderId="50" xfId="0" applyNumberFormat="1" applyFont="1" applyFill="1" applyBorder="1" applyAlignment="1" applyProtection="1">
      <alignment horizontal="center" vertical="center"/>
      <protection hidden="1"/>
    </xf>
    <xf numFmtId="166" fontId="30" fillId="0" borderId="50" xfId="0" applyNumberFormat="1" applyFont="1" applyBorder="1" applyAlignment="1" applyProtection="1">
      <alignment horizontal="center" vertical="center"/>
      <protection hidden="1"/>
    </xf>
    <xf numFmtId="166" fontId="30" fillId="0" borderId="42" xfId="0" applyNumberFormat="1" applyFont="1" applyBorder="1" applyAlignment="1" applyProtection="1">
      <alignment horizontal="center" vertical="center"/>
      <protection hidden="1"/>
    </xf>
    <xf numFmtId="166" fontId="30" fillId="0" borderId="51" xfId="0" applyNumberFormat="1" applyFont="1" applyBorder="1" applyAlignment="1" applyProtection="1">
      <alignment horizontal="center" vertical="center"/>
      <protection hidden="1"/>
    </xf>
    <xf numFmtId="166" fontId="34" fillId="44" borderId="17" xfId="0" applyNumberFormat="1" applyFont="1" applyFill="1" applyBorder="1" applyAlignment="1" applyProtection="1">
      <alignment horizontal="center" vertical="center"/>
      <protection hidden="1"/>
    </xf>
    <xf numFmtId="0" fontId="32" fillId="44" borderId="34" xfId="0" applyFont="1" applyFill="1" applyBorder="1" applyAlignment="1" applyProtection="1">
      <alignment horizontal="center" vertical="center" wrapText="1"/>
      <protection hidden="1"/>
    </xf>
    <xf numFmtId="165" fontId="30" fillId="0" borderId="68" xfId="0" applyNumberFormat="1" applyFont="1" applyBorder="1" applyAlignment="1" applyProtection="1">
      <alignment horizontal="center" vertical="center"/>
      <protection hidden="1"/>
    </xf>
    <xf numFmtId="165" fontId="30" fillId="0" borderId="40" xfId="0" applyNumberFormat="1" applyFont="1" applyBorder="1" applyAlignment="1" applyProtection="1">
      <alignment horizontal="center" vertical="center"/>
      <protection hidden="1"/>
    </xf>
    <xf numFmtId="165" fontId="30" fillId="0" borderId="52" xfId="0" applyNumberFormat="1" applyFont="1" applyBorder="1" applyAlignment="1" applyProtection="1">
      <alignment horizontal="center" vertical="center"/>
      <protection hidden="1"/>
    </xf>
    <xf numFmtId="165" fontId="30" fillId="0" borderId="69" xfId="0" applyNumberFormat="1" applyFont="1" applyBorder="1" applyAlignment="1" applyProtection="1">
      <alignment horizontal="center" vertical="center"/>
      <protection hidden="1"/>
    </xf>
    <xf numFmtId="165" fontId="34" fillId="2" borderId="30" xfId="0" applyNumberFormat="1" applyFont="1" applyFill="1" applyBorder="1" applyAlignment="1" applyProtection="1">
      <alignment horizontal="center" vertical="center"/>
      <protection hidden="1"/>
    </xf>
    <xf numFmtId="165" fontId="30" fillId="2" borderId="57" xfId="0" applyNumberFormat="1" applyFont="1" applyFill="1" applyBorder="1" applyAlignment="1" applyProtection="1">
      <alignment horizontal="center" vertical="center"/>
      <protection hidden="1"/>
    </xf>
    <xf numFmtId="165" fontId="34" fillId="13" borderId="33" xfId="0" applyNumberFormat="1" applyFont="1" applyFill="1" applyBorder="1" applyAlignment="1" applyProtection="1">
      <alignment horizontal="center" vertical="center"/>
      <protection hidden="1"/>
    </xf>
    <xf numFmtId="0" fontId="33" fillId="11" borderId="23" xfId="0" applyFont="1" applyFill="1" applyBorder="1" applyAlignment="1" applyProtection="1">
      <alignment horizontal="center" vertical="center" shrinkToFit="1"/>
      <protection hidden="1"/>
    </xf>
    <xf numFmtId="0" fontId="32" fillId="11" borderId="31" xfId="0" applyFont="1" applyFill="1" applyBorder="1" applyAlignment="1" applyProtection="1">
      <alignment horizontal="center" vertical="center"/>
      <protection hidden="1"/>
    </xf>
    <xf numFmtId="0" fontId="0" fillId="0" borderId="0" xfId="0" applyFill="1" applyBorder="1" applyProtection="1">
      <protection locked="0"/>
    </xf>
    <xf numFmtId="165" fontId="0" fillId="0" borderId="0" xfId="0" applyNumberFormat="1" applyFill="1" applyBorder="1" applyProtection="1">
      <protection locked="0"/>
    </xf>
    <xf numFmtId="0" fontId="10" fillId="28" borderId="29" xfId="1" applyFill="1" applyBorder="1" applyAlignment="1" applyProtection="1">
      <alignment horizontal="center" vertical="center"/>
      <protection hidden="1"/>
    </xf>
    <xf numFmtId="0" fontId="10" fillId="28" borderId="30" xfId="1" applyFill="1" applyBorder="1" applyAlignment="1" applyProtection="1">
      <alignment horizontal="center" vertical="center"/>
      <protection hidden="1"/>
    </xf>
    <xf numFmtId="0" fontId="3" fillId="27" borderId="31" xfId="0" applyFont="1" applyFill="1" applyBorder="1" applyAlignment="1" applyProtection="1">
      <alignment horizontal="center"/>
      <protection hidden="1"/>
    </xf>
    <xf numFmtId="0" fontId="3" fillId="27" borderId="32" xfId="0" applyFont="1" applyFill="1" applyBorder="1" applyAlignment="1" applyProtection="1">
      <alignment horizontal="center"/>
      <protection hidden="1"/>
    </xf>
    <xf numFmtId="0" fontId="20" fillId="43" borderId="24" xfId="0" applyFont="1" applyFill="1" applyBorder="1" applyAlignment="1" applyProtection="1">
      <alignment horizontal="center" vertical="center"/>
      <protection hidden="1"/>
    </xf>
    <xf numFmtId="0" fontId="20" fillId="43" borderId="26" xfId="0" applyFont="1" applyFill="1" applyBorder="1" applyAlignment="1" applyProtection="1">
      <alignment horizontal="center" vertical="center"/>
      <protection hidden="1"/>
    </xf>
    <xf numFmtId="0" fontId="21" fillId="43" borderId="29" xfId="0" applyFont="1" applyFill="1" applyBorder="1" applyAlignment="1" applyProtection="1">
      <alignment horizontal="center" vertical="center" shrinkToFit="1"/>
      <protection hidden="1"/>
    </xf>
    <xf numFmtId="0" fontId="21" fillId="43" borderId="30" xfId="0" applyFont="1" applyFill="1" applyBorder="1" applyAlignment="1" applyProtection="1">
      <alignment horizontal="center" vertical="center" shrinkToFit="1"/>
      <protection hidden="1"/>
    </xf>
    <xf numFmtId="0" fontId="24" fillId="28" borderId="24" xfId="1" applyFont="1" applyFill="1" applyBorder="1" applyAlignment="1" applyProtection="1">
      <alignment horizontal="center" vertical="center"/>
      <protection hidden="1"/>
    </xf>
    <xf numFmtId="0" fontId="24" fillId="28" borderId="26" xfId="1" applyFont="1" applyFill="1" applyBorder="1" applyAlignment="1" applyProtection="1">
      <alignment horizontal="center" vertical="center"/>
      <protection hidden="1"/>
    </xf>
    <xf numFmtId="0" fontId="38" fillId="11" borderId="24" xfId="0" applyFont="1" applyFill="1" applyBorder="1" applyAlignment="1" applyProtection="1">
      <alignment horizontal="center" vertical="center" shrinkToFit="1"/>
      <protection hidden="1"/>
    </xf>
    <xf numFmtId="0" fontId="38" fillId="11" borderId="25" xfId="0" applyFont="1" applyFill="1" applyBorder="1" applyAlignment="1" applyProtection="1">
      <alignment horizontal="center" vertical="center" shrinkToFit="1"/>
      <protection hidden="1"/>
    </xf>
    <xf numFmtId="0" fontId="38" fillId="11" borderId="35" xfId="0" applyFont="1" applyFill="1" applyBorder="1" applyAlignment="1" applyProtection="1">
      <alignment horizontal="center" vertical="center" shrinkToFit="1"/>
      <protection hidden="1"/>
    </xf>
    <xf numFmtId="0" fontId="38" fillId="11" borderId="34" xfId="0" applyFont="1" applyFill="1" applyBorder="1" applyAlignment="1" applyProtection="1">
      <alignment horizontal="center" vertical="center" shrinkToFit="1"/>
      <protection hidden="1"/>
    </xf>
    <xf numFmtId="0" fontId="5" fillId="14" borderId="24" xfId="0" applyFont="1" applyFill="1" applyBorder="1" applyAlignment="1" applyProtection="1">
      <alignment horizontal="center"/>
      <protection hidden="1"/>
    </xf>
    <xf numFmtId="0" fontId="5" fillId="14" borderId="25" xfId="0" applyFont="1" applyFill="1" applyBorder="1" applyAlignment="1" applyProtection="1">
      <alignment horizontal="center"/>
      <protection hidden="1"/>
    </xf>
    <xf numFmtId="0" fontId="39" fillId="14" borderId="27" xfId="0" applyFont="1" applyFill="1" applyBorder="1" applyAlignment="1" applyProtection="1">
      <alignment horizontal="center"/>
      <protection hidden="1"/>
    </xf>
    <xf numFmtId="0" fontId="39" fillId="14" borderId="0" xfId="0" applyFont="1" applyFill="1" applyBorder="1" applyAlignment="1" applyProtection="1">
      <alignment horizontal="center"/>
      <protection hidden="1"/>
    </xf>
    <xf numFmtId="0" fontId="40" fillId="14" borderId="29" xfId="0" applyFont="1" applyFill="1" applyBorder="1" applyAlignment="1" applyProtection="1">
      <alignment horizontal="center"/>
      <protection hidden="1"/>
    </xf>
    <xf numFmtId="0" fontId="40" fillId="14" borderId="17" xfId="0" applyFont="1" applyFill="1" applyBorder="1" applyAlignment="1" applyProtection="1">
      <alignment horizontal="center"/>
      <protection hidden="1"/>
    </xf>
    <xf numFmtId="0" fontId="23" fillId="11" borderId="36" xfId="0" applyFont="1" applyFill="1" applyBorder="1" applyAlignment="1" applyProtection="1">
      <alignment horizontal="center" vertical="center"/>
      <protection hidden="1"/>
    </xf>
    <xf numFmtId="0" fontId="23" fillId="11" borderId="35" xfId="0" applyFont="1" applyFill="1" applyBorder="1" applyAlignment="1" applyProtection="1">
      <alignment horizontal="center" vertical="center"/>
      <protection hidden="1"/>
    </xf>
    <xf numFmtId="0" fontId="47" fillId="2" borderId="24" xfId="0" applyFont="1" applyFill="1" applyBorder="1" applyAlignment="1" applyProtection="1">
      <alignment horizontal="center" vertical="center" wrapText="1"/>
      <protection locked="0"/>
    </xf>
    <xf numFmtId="0" fontId="47" fillId="2" borderId="25" xfId="0" applyFont="1" applyFill="1" applyBorder="1" applyAlignment="1" applyProtection="1">
      <alignment horizontal="center" vertical="center" wrapText="1"/>
      <protection locked="0"/>
    </xf>
    <xf numFmtId="0" fontId="47" fillId="2" borderId="26" xfId="0" applyFont="1" applyFill="1" applyBorder="1" applyAlignment="1" applyProtection="1">
      <alignment horizontal="center" vertical="center" wrapText="1"/>
      <protection locked="0"/>
    </xf>
    <xf numFmtId="0" fontId="47" fillId="2" borderId="27" xfId="0" applyFont="1" applyFill="1" applyBorder="1" applyAlignment="1" applyProtection="1">
      <alignment horizontal="center" vertical="center" wrapText="1"/>
      <protection locked="0"/>
    </xf>
    <xf numFmtId="0" fontId="47" fillId="2" borderId="0" xfId="0" applyFont="1" applyFill="1" applyBorder="1" applyAlignment="1" applyProtection="1">
      <alignment horizontal="center" vertical="center" wrapText="1"/>
      <protection locked="0"/>
    </xf>
    <xf numFmtId="0" fontId="47" fillId="2" borderId="28" xfId="0" applyFont="1" applyFill="1" applyBorder="1" applyAlignment="1" applyProtection="1">
      <alignment horizontal="center" vertical="center" wrapText="1"/>
      <protection locked="0"/>
    </xf>
    <xf numFmtId="0" fontId="47" fillId="2" borderId="29" xfId="0" applyFont="1" applyFill="1" applyBorder="1" applyAlignment="1" applyProtection="1">
      <alignment horizontal="center" vertical="center" wrapText="1"/>
      <protection locked="0"/>
    </xf>
    <xf numFmtId="0" fontId="47" fillId="2" borderId="17" xfId="0" applyFont="1" applyFill="1" applyBorder="1" applyAlignment="1" applyProtection="1">
      <alignment horizontal="center" vertical="center" wrapText="1"/>
      <protection locked="0"/>
    </xf>
    <xf numFmtId="0" fontId="47" fillId="2" borderId="30" xfId="0" applyFont="1" applyFill="1" applyBorder="1" applyAlignment="1" applyProtection="1">
      <alignment horizontal="center" vertical="center" wrapText="1"/>
      <protection locked="0"/>
    </xf>
    <xf numFmtId="0" fontId="15" fillId="27" borderId="17" xfId="0" applyFont="1" applyFill="1" applyBorder="1" applyAlignment="1" applyProtection="1">
      <alignment horizontal="center" vertical="center" shrinkToFit="1"/>
      <protection locked="0"/>
    </xf>
    <xf numFmtId="0" fontId="0" fillId="27" borderId="28" xfId="0" applyFill="1" applyBorder="1" applyAlignment="1" applyProtection="1">
      <alignment horizontal="center" vertical="center" textRotation="180" shrinkToFit="1"/>
      <protection locked="0"/>
    </xf>
    <xf numFmtId="0" fontId="12" fillId="27" borderId="0" xfId="0" applyFont="1" applyFill="1" applyAlignment="1" applyProtection="1">
      <alignment horizontal="center" vertical="center"/>
      <protection locked="0"/>
    </xf>
    <xf numFmtId="0" fontId="50" fillId="27" borderId="0" xfId="1" applyFont="1" applyFill="1" applyBorder="1" applyAlignment="1" applyProtection="1">
      <alignment horizontal="center" vertical="center"/>
      <protection locked="0"/>
    </xf>
    <xf numFmtId="0" fontId="48" fillId="5" borderId="36" xfId="0" applyFont="1" applyFill="1" applyBorder="1" applyAlignment="1" applyProtection="1">
      <alignment horizontal="center" vertical="center"/>
      <protection locked="0"/>
    </xf>
    <xf numFmtId="0" fontId="48" fillId="5" borderId="34" xfId="0" applyFont="1" applyFill="1" applyBorder="1" applyAlignment="1" applyProtection="1">
      <alignment horizontal="center" vertical="center"/>
      <protection locked="0"/>
    </xf>
    <xf numFmtId="0" fontId="0" fillId="27" borderId="0" xfId="0" applyFill="1" applyAlignment="1" applyProtection="1">
      <alignment horizontal="center"/>
      <protection locked="0"/>
    </xf>
    <xf numFmtId="0" fontId="0" fillId="27" borderId="0" xfId="0" applyFill="1" applyBorder="1" applyAlignment="1" applyProtection="1">
      <alignment horizontal="center" vertical="center"/>
      <protection locked="0"/>
    </xf>
    <xf numFmtId="0" fontId="33" fillId="3" borderId="6" xfId="0" applyFont="1" applyFill="1" applyBorder="1" applyAlignment="1" applyProtection="1">
      <alignment horizontal="center" vertical="center" shrinkToFit="1"/>
      <protection hidden="1"/>
    </xf>
    <xf numFmtId="0" fontId="33" fillId="3" borderId="44" xfId="0" applyFont="1" applyFill="1" applyBorder="1" applyAlignment="1" applyProtection="1">
      <alignment horizontal="center" vertical="center" shrinkToFit="1"/>
      <protection hidden="1"/>
    </xf>
    <xf numFmtId="0" fontId="32" fillId="3" borderId="41" xfId="0" applyFont="1" applyFill="1" applyBorder="1" applyAlignment="1" applyProtection="1">
      <alignment horizontal="right" vertical="center" shrinkToFit="1"/>
      <protection hidden="1"/>
    </xf>
    <xf numFmtId="0" fontId="32" fillId="3" borderId="9" xfId="0" applyFont="1" applyFill="1" applyBorder="1" applyAlignment="1" applyProtection="1">
      <alignment horizontal="right" vertical="center" shrinkToFit="1"/>
      <protection hidden="1"/>
    </xf>
    <xf numFmtId="0" fontId="32" fillId="3" borderId="6" xfId="0" applyFont="1" applyFill="1" applyBorder="1" applyAlignment="1" applyProtection="1">
      <alignment horizontal="right" vertical="center" shrinkToFit="1"/>
      <protection hidden="1"/>
    </xf>
    <xf numFmtId="0" fontId="32" fillId="3" borderId="44" xfId="0" applyFont="1" applyFill="1" applyBorder="1" applyAlignment="1" applyProtection="1">
      <alignment horizontal="right" vertical="center" shrinkToFit="1"/>
      <protection hidden="1"/>
    </xf>
    <xf numFmtId="0" fontId="32" fillId="3" borderId="2" xfId="0" applyFont="1" applyFill="1" applyBorder="1" applyAlignment="1" applyProtection="1">
      <alignment horizontal="right" vertical="center" shrinkToFit="1"/>
      <protection hidden="1"/>
    </xf>
    <xf numFmtId="0" fontId="32" fillId="3" borderId="43" xfId="0" applyFont="1" applyFill="1" applyBorder="1" applyAlignment="1" applyProtection="1">
      <alignment horizontal="right" vertical="center" shrinkToFit="1"/>
      <protection hidden="1"/>
    </xf>
    <xf numFmtId="0" fontId="18" fillId="0" borderId="0" xfId="0" applyFont="1" applyBorder="1" applyAlignment="1" applyProtection="1">
      <alignment horizontal="center" vertical="center"/>
      <protection hidden="1"/>
    </xf>
    <xf numFmtId="0" fontId="5" fillId="3" borderId="36" xfId="0" applyFont="1" applyFill="1" applyBorder="1" applyAlignment="1" applyProtection="1">
      <alignment horizontal="center" vertical="center"/>
      <protection hidden="1"/>
    </xf>
    <xf numFmtId="0" fontId="5" fillId="3" borderId="34" xfId="0" applyFont="1" applyFill="1" applyBorder="1" applyAlignment="1" applyProtection="1">
      <alignment horizontal="center" vertical="center"/>
      <protection hidden="1"/>
    </xf>
    <xf numFmtId="0" fontId="5" fillId="0" borderId="27" xfId="0" applyFont="1" applyBorder="1" applyAlignment="1" applyProtection="1">
      <alignment horizontal="right"/>
      <protection hidden="1"/>
    </xf>
    <xf numFmtId="0" fontId="5" fillId="0" borderId="28" xfId="0" applyFont="1" applyBorder="1" applyAlignment="1" applyProtection="1">
      <alignment horizontal="right"/>
      <protection hidden="1"/>
    </xf>
    <xf numFmtId="0" fontId="10" fillId="3" borderId="36" xfId="1" applyFill="1" applyBorder="1" applyAlignment="1" applyProtection="1">
      <alignment horizontal="center" vertical="center" shrinkToFit="1"/>
      <protection hidden="1"/>
    </xf>
    <xf numFmtId="0" fontId="5" fillId="3" borderId="35" xfId="0" applyFont="1" applyFill="1" applyBorder="1" applyAlignment="1" applyProtection="1">
      <alignment horizontal="center" vertical="center" shrinkToFit="1"/>
      <protection hidden="1"/>
    </xf>
    <xf numFmtId="0" fontId="5" fillId="3" borderId="34" xfId="0" applyFont="1" applyFill="1" applyBorder="1" applyAlignment="1" applyProtection="1">
      <alignment horizontal="center" vertical="center" shrinkToFit="1"/>
      <protection hidden="1"/>
    </xf>
    <xf numFmtId="0" fontId="0" fillId="0" borderId="27" xfId="0" applyBorder="1" applyAlignment="1">
      <alignment horizontal="center"/>
    </xf>
    <xf numFmtId="0" fontId="0" fillId="0" borderId="28" xfId="0" applyBorder="1" applyAlignment="1">
      <alignment horizontal="center"/>
    </xf>
    <xf numFmtId="0" fontId="5" fillId="0" borderId="27" xfId="0" applyFont="1" applyBorder="1" applyAlignment="1" applyProtection="1">
      <alignment horizontal="center"/>
      <protection hidden="1"/>
    </xf>
    <xf numFmtId="0" fontId="5" fillId="0" borderId="28" xfId="0" applyFont="1" applyBorder="1" applyAlignment="1" applyProtection="1">
      <alignment horizontal="center"/>
      <protection hidden="1"/>
    </xf>
    <xf numFmtId="0" fontId="6" fillId="5" borderId="19" xfId="0" applyFont="1" applyFill="1" applyBorder="1" applyAlignment="1" applyProtection="1">
      <alignment horizontal="center" vertical="center"/>
      <protection hidden="1"/>
    </xf>
    <xf numFmtId="0" fontId="6" fillId="5" borderId="21" xfId="0" applyFont="1" applyFill="1" applyBorder="1" applyAlignment="1" applyProtection="1">
      <alignment horizontal="center" vertical="center"/>
      <protection hidden="1"/>
    </xf>
    <xf numFmtId="0" fontId="5" fillId="0" borderId="24" xfId="0" applyFont="1" applyBorder="1" applyAlignment="1" applyProtection="1">
      <alignment horizontal="right"/>
      <protection hidden="1"/>
    </xf>
    <xf numFmtId="0" fontId="5" fillId="0" borderId="26" xfId="0" applyFont="1" applyBorder="1" applyAlignment="1" applyProtection="1">
      <alignment horizontal="right"/>
      <protection hidden="1"/>
    </xf>
    <xf numFmtId="0" fontId="19" fillId="0" borderId="29" xfId="1" applyFont="1" applyBorder="1" applyAlignment="1" applyProtection="1">
      <alignment horizontal="center"/>
      <protection hidden="1"/>
    </xf>
    <xf numFmtId="0" fontId="15" fillId="0" borderId="30" xfId="0" applyFont="1" applyBorder="1" applyAlignment="1" applyProtection="1">
      <alignment horizontal="center"/>
      <protection hidden="1"/>
    </xf>
    <xf numFmtId="0" fontId="31" fillId="2" borderId="24" xfId="0" applyFont="1" applyFill="1" applyBorder="1" applyAlignment="1" applyProtection="1">
      <alignment horizontal="center" vertical="center" wrapText="1"/>
      <protection hidden="1"/>
    </xf>
    <xf numFmtId="0" fontId="31" fillId="2" borderId="25" xfId="0" applyFont="1" applyFill="1" applyBorder="1" applyAlignment="1" applyProtection="1">
      <alignment horizontal="center" vertical="center" wrapText="1"/>
      <protection hidden="1"/>
    </xf>
    <xf numFmtId="0" fontId="31" fillId="2" borderId="26" xfId="0" applyFont="1" applyFill="1" applyBorder="1" applyAlignment="1" applyProtection="1">
      <alignment horizontal="center" vertical="center" wrapText="1"/>
      <protection hidden="1"/>
    </xf>
    <xf numFmtId="0" fontId="31" fillId="2" borderId="29" xfId="0" applyFont="1" applyFill="1" applyBorder="1" applyAlignment="1" applyProtection="1">
      <alignment horizontal="center" vertical="center" wrapText="1"/>
      <protection hidden="1"/>
    </xf>
    <xf numFmtId="0" fontId="31" fillId="2" borderId="17" xfId="0" applyFont="1" applyFill="1" applyBorder="1" applyAlignment="1" applyProtection="1">
      <alignment horizontal="center" vertical="center" wrapText="1"/>
      <protection hidden="1"/>
    </xf>
    <xf numFmtId="0" fontId="31" fillId="2" borderId="30" xfId="0" applyFont="1" applyFill="1" applyBorder="1" applyAlignment="1" applyProtection="1">
      <alignment horizontal="center" vertical="center" wrapText="1"/>
      <protection hidden="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0" xfId="0" applyFont="1" applyBorder="1" applyAlignment="1">
      <alignment horizontal="center" vertical="center" wrapText="1"/>
    </xf>
    <xf numFmtId="0" fontId="4" fillId="9" borderId="19" xfId="0" applyFont="1" applyFill="1" applyBorder="1" applyAlignment="1" applyProtection="1">
      <alignment horizontal="center"/>
      <protection hidden="1"/>
    </xf>
    <xf numFmtId="0" fontId="4" fillId="9" borderId="20" xfId="0" applyFont="1" applyFill="1" applyBorder="1" applyAlignment="1" applyProtection="1">
      <alignment horizontal="center"/>
      <protection hidden="1"/>
    </xf>
    <xf numFmtId="0" fontId="4" fillId="26" borderId="50" xfId="0" applyFont="1" applyFill="1" applyBorder="1" applyAlignment="1">
      <alignment horizontal="center"/>
    </xf>
    <xf numFmtId="0" fontId="4" fillId="26" borderId="11" xfId="0" applyFont="1" applyFill="1" applyBorder="1" applyAlignment="1">
      <alignment horizontal="center"/>
    </xf>
    <xf numFmtId="0" fontId="4" fillId="26" borderId="51" xfId="0" applyFont="1" applyFill="1" applyBorder="1" applyAlignment="1">
      <alignment horizontal="center"/>
    </xf>
    <xf numFmtId="0" fontId="4" fillId="26" borderId="12" xfId="0" applyFont="1" applyFill="1" applyBorder="1" applyAlignment="1">
      <alignment horizontal="center"/>
    </xf>
    <xf numFmtId="0" fontId="28" fillId="38" borderId="36" xfId="0" applyFont="1" applyFill="1" applyBorder="1" applyAlignment="1">
      <alignment horizontal="center" vertical="center" shrinkToFit="1"/>
    </xf>
    <xf numFmtId="0" fontId="28" fillId="38" borderId="35" xfId="0" applyFont="1" applyFill="1" applyBorder="1" applyAlignment="1">
      <alignment horizontal="center" vertical="center" shrinkToFit="1"/>
    </xf>
    <xf numFmtId="0" fontId="28" fillId="38" borderId="34" xfId="0" applyFont="1" applyFill="1" applyBorder="1" applyAlignment="1">
      <alignment horizontal="center" vertical="center" shrinkToFit="1"/>
    </xf>
    <xf numFmtId="0" fontId="4" fillId="35" borderId="50" xfId="0" applyFont="1" applyFill="1" applyBorder="1" applyAlignment="1" applyProtection="1">
      <alignment horizontal="center"/>
      <protection hidden="1"/>
    </xf>
    <xf numFmtId="0" fontId="4" fillId="35" borderId="11" xfId="0" applyFont="1" applyFill="1" applyBorder="1" applyAlignment="1" applyProtection="1">
      <alignment horizontal="center"/>
      <protection hidden="1"/>
    </xf>
    <xf numFmtId="0" fontId="4" fillId="8" borderId="19" xfId="0" applyFont="1" applyFill="1" applyBorder="1" applyAlignment="1" applyProtection="1">
      <alignment horizontal="center" shrinkToFit="1"/>
      <protection hidden="1"/>
    </xf>
    <xf numFmtId="0" fontId="4" fillId="8" borderId="20" xfId="0" applyFont="1" applyFill="1" applyBorder="1" applyAlignment="1" applyProtection="1">
      <alignment horizontal="center" shrinkToFit="1"/>
      <protection hidden="1"/>
    </xf>
    <xf numFmtId="0" fontId="4" fillId="35" borderId="19" xfId="0" applyFont="1" applyFill="1" applyBorder="1" applyAlignment="1" applyProtection="1">
      <alignment horizontal="center"/>
      <protection hidden="1"/>
    </xf>
    <xf numFmtId="0" fontId="4" fillId="35" borderId="20" xfId="0" applyFont="1" applyFill="1" applyBorder="1" applyAlignment="1" applyProtection="1">
      <alignment horizontal="center"/>
      <protection hidden="1"/>
    </xf>
    <xf numFmtId="0" fontId="11" fillId="36" borderId="43" xfId="0" applyFont="1" applyFill="1" applyBorder="1" applyAlignment="1">
      <alignment horizontal="center" vertical="center" wrapText="1"/>
    </xf>
    <xf numFmtId="0" fontId="11" fillId="36" borderId="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7" xfId="0" applyFont="1" applyFill="1" applyBorder="1" applyAlignment="1">
      <alignment horizontal="center" vertical="center" wrapText="1"/>
    </xf>
    <xf numFmtId="0" fontId="11" fillId="36" borderId="2" xfId="0" applyFont="1" applyFill="1" applyBorder="1" applyAlignment="1">
      <alignment horizontal="center" vertical="center" wrapText="1"/>
    </xf>
    <xf numFmtId="0" fontId="11" fillId="36" borderId="6" xfId="0" applyFont="1" applyFill="1" applyBorder="1" applyAlignment="1">
      <alignment horizontal="center" vertical="center" wrapText="1"/>
    </xf>
    <xf numFmtId="0" fontId="4" fillId="0" borderId="1" xfId="0" applyFont="1" applyBorder="1" applyAlignment="1" applyProtection="1">
      <alignment horizontal="center"/>
      <protection hidden="1"/>
    </xf>
    <xf numFmtId="0" fontId="4" fillId="2" borderId="53" xfId="0" applyFont="1" applyFill="1" applyBorder="1" applyAlignment="1" applyProtection="1">
      <alignment horizontal="center"/>
      <protection hidden="1"/>
    </xf>
    <xf numFmtId="0" fontId="4" fillId="2" borderId="54" xfId="0" applyFont="1" applyFill="1" applyBorder="1" applyAlignment="1" applyProtection="1">
      <alignment horizontal="center"/>
      <protection hidden="1"/>
    </xf>
    <xf numFmtId="0" fontId="4" fillId="10" borderId="19" xfId="0" applyFont="1" applyFill="1" applyBorder="1" applyAlignment="1" applyProtection="1">
      <alignment horizontal="center" shrinkToFit="1"/>
      <protection hidden="1"/>
    </xf>
    <xf numFmtId="0" fontId="4" fillId="10" borderId="20" xfId="0" applyFont="1" applyFill="1" applyBorder="1" applyAlignment="1" applyProtection="1">
      <alignment horizontal="center" shrinkToFit="1"/>
      <protection hidden="1"/>
    </xf>
    <xf numFmtId="0" fontId="4" fillId="8" borderId="6" xfId="0" applyFont="1" applyFill="1" applyBorder="1" applyAlignment="1" applyProtection="1">
      <alignment horizontal="center"/>
      <protection hidden="1"/>
    </xf>
    <xf numFmtId="0" fontId="4" fillId="8" borderId="44" xfId="0" applyFont="1" applyFill="1" applyBorder="1" applyAlignment="1" applyProtection="1">
      <alignment horizontal="center"/>
      <protection hidden="1"/>
    </xf>
    <xf numFmtId="0" fontId="4" fillId="0" borderId="47" xfId="0" applyFont="1" applyBorder="1" applyAlignment="1" applyProtection="1">
      <alignment horizontal="center"/>
      <protection hidden="1"/>
    </xf>
    <xf numFmtId="0" fontId="4" fillId="0" borderId="48"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43" xfId="0" applyFont="1" applyBorder="1" applyAlignment="1" applyProtection="1">
      <alignment horizontal="center"/>
      <protection hidden="1"/>
    </xf>
    <xf numFmtId="0" fontId="4" fillId="0" borderId="4" xfId="0" applyFont="1" applyBorder="1" applyAlignment="1" applyProtection="1">
      <alignment horizontal="center"/>
      <protection hidden="1"/>
    </xf>
    <xf numFmtId="0" fontId="4" fillId="2" borderId="6" xfId="0" applyFont="1" applyFill="1" applyBorder="1" applyAlignment="1" applyProtection="1">
      <alignment horizontal="center"/>
      <protection hidden="1"/>
    </xf>
    <xf numFmtId="0" fontId="4" fillId="2" borderId="44" xfId="0" applyFont="1" applyFill="1" applyBorder="1" applyAlignment="1" applyProtection="1">
      <alignment horizontal="center"/>
      <protection hidden="1"/>
    </xf>
    <xf numFmtId="0" fontId="4" fillId="2" borderId="19" xfId="0" applyFont="1" applyFill="1" applyBorder="1" applyAlignment="1" applyProtection="1">
      <alignment horizontal="center"/>
      <protection hidden="1"/>
    </xf>
    <xf numFmtId="0" fontId="4" fillId="2" borderId="20" xfId="0" applyFont="1" applyFill="1" applyBorder="1" applyAlignment="1" applyProtection="1">
      <alignment horizontal="center"/>
      <protection hidden="1"/>
    </xf>
    <xf numFmtId="0" fontId="4" fillId="10" borderId="6" xfId="0" applyFont="1" applyFill="1" applyBorder="1" applyAlignment="1" applyProtection="1">
      <alignment horizontal="center"/>
      <protection hidden="1"/>
    </xf>
    <xf numFmtId="0" fontId="4" fillId="10" borderId="44" xfId="0" applyFont="1" applyFill="1" applyBorder="1" applyAlignment="1" applyProtection="1">
      <alignment horizontal="center"/>
      <protection hidden="1"/>
    </xf>
    <xf numFmtId="0" fontId="4" fillId="11" borderId="6" xfId="0" applyFont="1" applyFill="1" applyBorder="1" applyAlignment="1" applyProtection="1">
      <alignment horizontal="center"/>
      <protection hidden="1"/>
    </xf>
    <xf numFmtId="0" fontId="4" fillId="11" borderId="22" xfId="0" applyFont="1" applyFill="1" applyBorder="1" applyAlignment="1" applyProtection="1">
      <alignment horizontal="center"/>
      <protection hidden="1"/>
    </xf>
    <xf numFmtId="0" fontId="4" fillId="11" borderId="2" xfId="0" applyFont="1" applyFill="1" applyBorder="1" applyAlignment="1" applyProtection="1">
      <alignment horizontal="center"/>
      <protection hidden="1"/>
    </xf>
    <xf numFmtId="0" fontId="4" fillId="11" borderId="43" xfId="0" applyFont="1" applyFill="1" applyBorder="1" applyAlignment="1" applyProtection="1">
      <alignment horizontal="center"/>
      <protection hidden="1"/>
    </xf>
    <xf numFmtId="0" fontId="4" fillId="11" borderId="3" xfId="0" applyFont="1" applyFill="1" applyBorder="1" applyAlignment="1" applyProtection="1">
      <alignment horizontal="center"/>
      <protection hidden="1"/>
    </xf>
    <xf numFmtId="0" fontId="4" fillId="2" borderId="8" xfId="0" applyFont="1" applyFill="1" applyBorder="1" applyAlignment="1" applyProtection="1">
      <alignment horizontal="center"/>
      <protection hidden="1"/>
    </xf>
    <xf numFmtId="0" fontId="4" fillId="2" borderId="12" xfId="0" applyFont="1" applyFill="1" applyBorder="1" applyAlignment="1" applyProtection="1">
      <alignment horizontal="center"/>
      <protection hidden="1"/>
    </xf>
    <xf numFmtId="0" fontId="4" fillId="7" borderId="2" xfId="0" applyFont="1" applyFill="1" applyBorder="1" applyAlignment="1" applyProtection="1">
      <alignment horizontal="center"/>
      <protection hidden="1"/>
    </xf>
    <xf numFmtId="0" fontId="4" fillId="7" borderId="43" xfId="0" applyFont="1" applyFill="1" applyBorder="1" applyAlignment="1" applyProtection="1">
      <alignment horizontal="center"/>
      <protection hidden="1"/>
    </xf>
    <xf numFmtId="0" fontId="4" fillId="0" borderId="6" xfId="0" applyFont="1" applyBorder="1" applyAlignment="1" applyProtection="1">
      <alignment horizontal="center"/>
      <protection hidden="1"/>
    </xf>
    <xf numFmtId="0" fontId="4" fillId="0" borderId="44" xfId="0" applyFont="1" applyBorder="1" applyAlignment="1" applyProtection="1">
      <alignment horizontal="center"/>
      <protection hidden="1"/>
    </xf>
    <xf numFmtId="165" fontId="4" fillId="24" borderId="60" xfId="0" applyNumberFormat="1" applyFont="1" applyFill="1" applyBorder="1" applyAlignment="1" applyProtection="1">
      <alignment horizontal="center" vertical="center"/>
      <protection hidden="1"/>
    </xf>
    <xf numFmtId="165" fontId="4" fillId="24" borderId="20" xfId="0" applyNumberFormat="1" applyFont="1" applyFill="1" applyBorder="1" applyAlignment="1" applyProtection="1">
      <alignment horizontal="center" vertical="center"/>
      <protection hidden="1"/>
    </xf>
    <xf numFmtId="0" fontId="3" fillId="0" borderId="24" xfId="0" applyFont="1" applyBorder="1" applyAlignment="1" applyProtection="1">
      <alignment horizontal="right"/>
      <protection hidden="1"/>
    </xf>
    <xf numFmtId="0" fontId="3" fillId="0" borderId="25" xfId="0" applyFont="1" applyBorder="1" applyAlignment="1" applyProtection="1">
      <alignment horizontal="right"/>
      <protection hidden="1"/>
    </xf>
    <xf numFmtId="0" fontId="3" fillId="0" borderId="26" xfId="0" applyFont="1" applyBorder="1" applyAlignment="1" applyProtection="1">
      <alignment horizontal="right"/>
      <protection hidden="1"/>
    </xf>
    <xf numFmtId="0" fontId="3" fillId="0" borderId="27"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3" fillId="0" borderId="28" xfId="0" applyFont="1" applyBorder="1" applyAlignment="1" applyProtection="1">
      <alignment horizontal="right"/>
      <protection hidden="1"/>
    </xf>
    <xf numFmtId="0" fontId="3" fillId="0" borderId="29" xfId="0" applyFont="1" applyBorder="1" applyAlignment="1" applyProtection="1">
      <alignment horizontal="right"/>
      <protection hidden="1"/>
    </xf>
    <xf numFmtId="0" fontId="3" fillId="0" borderId="17" xfId="0" applyFont="1" applyBorder="1" applyAlignment="1" applyProtection="1">
      <alignment horizontal="right"/>
      <protection hidden="1"/>
    </xf>
    <xf numFmtId="0" fontId="3" fillId="0" borderId="30" xfId="0" applyFont="1" applyBorder="1" applyAlignment="1" applyProtection="1">
      <alignment horizontal="right"/>
      <protection hidden="1"/>
    </xf>
    <xf numFmtId="0" fontId="4" fillId="12" borderId="42" xfId="0" applyFont="1" applyFill="1" applyBorder="1" applyAlignment="1" applyProtection="1">
      <alignment horizontal="center" vertical="center"/>
      <protection hidden="1"/>
    </xf>
    <xf numFmtId="0" fontId="4" fillId="12" borderId="59" xfId="0" applyFont="1" applyFill="1" applyBorder="1" applyAlignment="1" applyProtection="1">
      <alignment horizontal="center" vertical="center"/>
      <protection hidden="1"/>
    </xf>
    <xf numFmtId="0" fontId="4" fillId="25" borderId="47" xfId="0" applyFont="1" applyFill="1" applyBorder="1" applyAlignment="1">
      <alignment horizontal="center"/>
    </xf>
    <xf numFmtId="0" fontId="4" fillId="25" borderId="48" xfId="0" applyFont="1" applyFill="1" applyBorder="1" applyAlignment="1">
      <alignment horizontal="center"/>
    </xf>
    <xf numFmtId="0" fontId="4" fillId="30" borderId="44" xfId="0" applyFont="1" applyFill="1" applyBorder="1" applyAlignment="1">
      <alignment horizontal="center"/>
    </xf>
    <xf numFmtId="0" fontId="4" fillId="30" borderId="7" xfId="0" applyFont="1" applyFill="1" applyBorder="1" applyAlignment="1">
      <alignment horizontal="center"/>
    </xf>
    <xf numFmtId="0" fontId="4" fillId="23" borderId="36" xfId="0" applyFont="1" applyFill="1" applyBorder="1" applyAlignment="1">
      <alignment horizontal="center"/>
    </xf>
    <xf numFmtId="0" fontId="4" fillId="23" borderId="60" xfId="0" applyFont="1" applyFill="1" applyBorder="1" applyAlignment="1">
      <alignment horizontal="center"/>
    </xf>
    <xf numFmtId="0" fontId="4" fillId="26" borderId="24" xfId="0" applyFont="1" applyFill="1" applyBorder="1" applyAlignment="1" applyProtection="1">
      <alignment horizontal="center"/>
      <protection hidden="1"/>
    </xf>
    <xf numFmtId="0" fontId="4" fillId="26" borderId="26" xfId="0" applyFont="1" applyFill="1" applyBorder="1" applyAlignment="1" applyProtection="1">
      <alignment horizontal="center"/>
      <protection hidden="1"/>
    </xf>
    <xf numFmtId="0" fontId="4" fillId="26" borderId="29" xfId="0" applyFont="1" applyFill="1" applyBorder="1" applyAlignment="1" applyProtection="1">
      <alignment horizontal="center"/>
      <protection hidden="1"/>
    </xf>
    <xf numFmtId="0" fontId="4" fillId="26" borderId="30" xfId="0" applyFont="1" applyFill="1" applyBorder="1" applyAlignment="1" applyProtection="1">
      <alignment horizontal="center"/>
      <protection hidden="1"/>
    </xf>
    <xf numFmtId="0" fontId="41" fillId="23" borderId="36" xfId="0" applyFont="1" applyFill="1" applyBorder="1" applyAlignment="1" applyProtection="1">
      <alignment horizontal="center" vertical="center" shrinkToFit="1"/>
      <protection hidden="1"/>
    </xf>
    <xf numFmtId="0" fontId="41" fillId="23" borderId="34" xfId="0" applyFont="1" applyFill="1" applyBorder="1" applyAlignment="1" applyProtection="1">
      <alignment horizontal="center" vertical="center" shrinkToFit="1"/>
      <protection hidden="1"/>
    </xf>
    <xf numFmtId="0" fontId="41" fillId="23" borderId="36" xfId="0" applyFont="1" applyFill="1" applyBorder="1" applyAlignment="1" applyProtection="1">
      <alignment horizontal="center" vertical="center"/>
      <protection hidden="1"/>
    </xf>
    <xf numFmtId="0" fontId="41" fillId="23" borderId="34" xfId="0" applyFont="1" applyFill="1" applyBorder="1" applyAlignment="1" applyProtection="1">
      <alignment horizontal="center" vertical="center"/>
      <protection hidden="1"/>
    </xf>
    <xf numFmtId="0" fontId="41" fillId="23" borderId="36" xfId="0" applyFont="1" applyFill="1" applyBorder="1" applyAlignment="1" applyProtection="1">
      <alignment horizontal="center" vertical="center" wrapText="1" shrinkToFit="1"/>
      <protection hidden="1"/>
    </xf>
    <xf numFmtId="0" fontId="41" fillId="23" borderId="34" xfId="0" applyFont="1" applyFill="1" applyBorder="1" applyAlignment="1" applyProtection="1">
      <alignment horizontal="center" vertical="center" wrapText="1" shrinkToFit="1"/>
      <protection hidden="1"/>
    </xf>
    <xf numFmtId="0" fontId="11" fillId="36" borderId="44" xfId="0" applyFont="1" applyFill="1" applyBorder="1" applyAlignment="1">
      <alignment horizontal="right" vertical="center" shrinkToFit="1"/>
    </xf>
    <xf numFmtId="0" fontId="4" fillId="35" borderId="1" xfId="0" applyFont="1" applyFill="1" applyBorder="1" applyAlignment="1" applyProtection="1">
      <alignment horizontal="center"/>
      <protection hidden="1"/>
    </xf>
    <xf numFmtId="0" fontId="4" fillId="27" borderId="52" xfId="0" applyFont="1" applyFill="1" applyBorder="1" applyAlignment="1" applyProtection="1">
      <alignment horizontal="center"/>
      <protection hidden="1"/>
    </xf>
    <xf numFmtId="0" fontId="4" fillId="27" borderId="0" xfId="0" applyFont="1" applyFill="1" applyBorder="1" applyAlignment="1" applyProtection="1">
      <alignment horizontal="center" shrinkToFit="1"/>
      <protection hidden="1"/>
    </xf>
    <xf numFmtId="0" fontId="4" fillId="8" borderId="19" xfId="0" applyFont="1" applyFill="1" applyBorder="1" applyAlignment="1" applyProtection="1">
      <alignment horizontal="center"/>
      <protection hidden="1"/>
    </xf>
    <xf numFmtId="0" fontId="4" fillId="8" borderId="20" xfId="0" applyFont="1" applyFill="1" applyBorder="1" applyAlignment="1" applyProtection="1">
      <alignment horizontal="center"/>
      <protection hidden="1"/>
    </xf>
    <xf numFmtId="0" fontId="11" fillId="36" borderId="43" xfId="0" applyFont="1" applyFill="1" applyBorder="1" applyAlignment="1">
      <alignment horizontal="right" vertical="center" shrinkToFit="1"/>
    </xf>
    <xf numFmtId="0" fontId="11" fillId="36" borderId="1" xfId="0" applyFont="1" applyFill="1" applyBorder="1" applyAlignment="1">
      <alignment horizontal="right" vertical="center" shrinkToFit="1"/>
    </xf>
    <xf numFmtId="0" fontId="28" fillId="38" borderId="24" xfId="0" applyFont="1" applyFill="1" applyBorder="1" applyAlignment="1">
      <alignment horizontal="center" vertical="center" shrinkToFit="1"/>
    </xf>
    <xf numFmtId="0" fontId="28" fillId="38" borderId="25" xfId="0" applyFont="1" applyFill="1" applyBorder="1" applyAlignment="1">
      <alignment horizontal="center" vertical="center" shrinkToFit="1"/>
    </xf>
    <xf numFmtId="0" fontId="28" fillId="38" borderId="26" xfId="0" applyFont="1" applyFill="1" applyBorder="1" applyAlignment="1">
      <alignment horizontal="center" vertical="center" shrinkToFit="1"/>
    </xf>
    <xf numFmtId="0" fontId="4" fillId="35" borderId="51" xfId="0" applyFont="1" applyFill="1" applyBorder="1" applyAlignment="1" applyProtection="1">
      <alignment horizontal="center"/>
      <protection hidden="1"/>
    </xf>
    <xf numFmtId="0" fontId="4" fillId="35" borderId="12" xfId="0" applyFont="1" applyFill="1" applyBorder="1" applyAlignment="1" applyProtection="1">
      <alignment horizontal="center"/>
      <protection hidden="1"/>
    </xf>
    <xf numFmtId="0" fontId="4" fillId="35" borderId="27" xfId="0" applyFont="1" applyFill="1" applyBorder="1" applyAlignment="1" applyProtection="1">
      <alignment horizontal="center" shrinkToFit="1"/>
      <protection hidden="1"/>
    </xf>
    <xf numFmtId="0" fontId="4" fillId="35" borderId="0" xfId="0" applyFont="1" applyFill="1" applyBorder="1" applyAlignment="1" applyProtection="1">
      <alignment horizontal="center" shrinkToFit="1"/>
      <protection hidden="1"/>
    </xf>
    <xf numFmtId="0" fontId="4" fillId="35" borderId="64" xfId="0" applyFont="1" applyFill="1" applyBorder="1" applyAlignment="1" applyProtection="1">
      <alignment horizontal="center" shrinkToFit="1"/>
      <protection hidden="1"/>
    </xf>
    <xf numFmtId="0" fontId="5" fillId="22" borderId="36" xfId="0" applyFont="1" applyFill="1" applyBorder="1" applyAlignment="1">
      <alignment horizontal="center" vertical="center"/>
    </xf>
    <xf numFmtId="0" fontId="5" fillId="22" borderId="60" xfId="0" applyFont="1" applyFill="1" applyBorder="1" applyAlignment="1">
      <alignment horizontal="center" vertical="center"/>
    </xf>
    <xf numFmtId="0" fontId="12" fillId="0" borderId="29" xfId="0" applyFont="1" applyBorder="1" applyAlignment="1">
      <alignment horizontal="center" vertical="center"/>
    </xf>
    <xf numFmtId="0" fontId="12" fillId="0" borderId="17" xfId="0" applyFont="1" applyBorder="1" applyAlignment="1">
      <alignment horizontal="center" vertical="center"/>
    </xf>
    <xf numFmtId="0" fontId="12" fillId="0" borderId="30" xfId="0" applyFont="1" applyBorder="1" applyAlignment="1">
      <alignment horizontal="center" vertical="center"/>
    </xf>
    <xf numFmtId="0" fontId="30" fillId="4" borderId="31" xfId="0" applyFont="1" applyFill="1" applyBorder="1" applyAlignment="1">
      <alignment horizontal="center" vertical="center" wrapText="1"/>
    </xf>
    <xf numFmtId="0" fontId="30" fillId="4" borderId="27"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5" fillId="41" borderId="47" xfId="0" applyFont="1" applyFill="1" applyBorder="1" applyAlignment="1">
      <alignment horizontal="center" vertical="center"/>
    </xf>
    <xf numFmtId="0" fontId="5" fillId="41" borderId="48" xfId="0" applyFont="1" applyFill="1" applyBorder="1" applyAlignment="1">
      <alignment horizontal="center" vertical="center"/>
    </xf>
    <xf numFmtId="0" fontId="12" fillId="0" borderId="2" xfId="0" applyFont="1" applyBorder="1" applyAlignment="1">
      <alignment horizontal="center" vertical="center"/>
    </xf>
    <xf numFmtId="0" fontId="12" fillId="0" borderId="4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44" xfId="0" applyFont="1" applyBorder="1" applyAlignment="1">
      <alignment horizontal="center" vertical="center"/>
    </xf>
    <xf numFmtId="0" fontId="15" fillId="41" borderId="53" xfId="0" applyFont="1" applyFill="1" applyBorder="1" applyAlignment="1">
      <alignment horizontal="center" vertical="center"/>
    </xf>
    <xf numFmtId="0" fontId="15" fillId="41" borderId="54" xfId="0" applyFont="1" applyFill="1" applyBorder="1" applyAlignment="1">
      <alignment horizontal="center" vertical="center"/>
    </xf>
  </cellXfs>
  <cellStyles count="5">
    <cellStyle name="Hyperlink" xfId="1" builtinId="8"/>
    <cellStyle name="Hyperlink 2" xfId="3"/>
    <cellStyle name="Normal" xfId="0" builtinId="0"/>
    <cellStyle name="Normal 2" xfId="2"/>
    <cellStyle name="Normal 3" xfId="4"/>
  </cellStyles>
  <dxfs count="0"/>
  <tableStyles count="0" defaultTableStyle="TableStyleMedium2" defaultPivotStyle="PivotStyleLight16"/>
  <colors>
    <mruColors>
      <color rgb="FF5AF1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219075</xdr:colOff>
      <xdr:row>0</xdr:row>
      <xdr:rowOff>19049</xdr:rowOff>
    </xdr:from>
    <xdr:to>
      <xdr:col>3</xdr:col>
      <xdr:colOff>1257300</xdr:colOff>
      <xdr:row>3</xdr:row>
      <xdr:rowOff>28575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9828790350" y="19049"/>
          <a:ext cx="1038225" cy="8191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86059</xdr:colOff>
      <xdr:row>29</xdr:row>
      <xdr:rowOff>85724</xdr:rowOff>
    </xdr:from>
    <xdr:to>
      <xdr:col>6</xdr:col>
      <xdr:colOff>1796</xdr:colOff>
      <xdr:row>32</xdr:row>
      <xdr:rowOff>238124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1233215937" y="10934699"/>
          <a:ext cx="1702204" cy="1343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228600</xdr:colOff>
      <xdr:row>0</xdr:row>
      <xdr:rowOff>0</xdr:rowOff>
    </xdr:from>
    <xdr:to>
      <xdr:col>5</xdr:col>
      <xdr:colOff>0</xdr:colOff>
      <xdr:row>0</xdr:row>
      <xdr:rowOff>933450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232918225" y="0"/>
          <a:ext cx="12763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henasname.ir/" TargetMode="External"/><Relationship Id="rId7" Type="http://schemas.openxmlformats.org/officeDocument/2006/relationships/comments" Target="../comments1.xm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ZhowanMarket@gmail.com" TargetMode="External"/><Relationship Id="rId1" Type="http://schemas.openxmlformats.org/officeDocument/2006/relationships/hyperlink" Target="https://shenasname.ir/"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F28"/>
  <sheetViews>
    <sheetView rightToLeft="1" tabSelected="1" topLeftCell="A4" zoomScaleNormal="100" zoomScaleSheetLayoutView="85" zoomScalePageLayoutView="70" workbookViewId="0">
      <selection activeCell="D18" sqref="D18"/>
    </sheetView>
  </sheetViews>
  <sheetFormatPr defaultColWidth="9" defaultRowHeight="18.75" x14ac:dyDescent="0.45"/>
  <cols>
    <col min="1" max="1" width="48.42578125" style="407" customWidth="1"/>
    <col min="2" max="2" width="20.7109375" style="407" customWidth="1"/>
    <col min="3" max="3" width="48.28515625" style="407" customWidth="1"/>
    <col min="4" max="4" width="20.7109375" style="407" customWidth="1"/>
    <col min="5" max="5" width="32.7109375" style="407" hidden="1" customWidth="1"/>
    <col min="6" max="6" width="15.5703125" style="407" hidden="1" customWidth="1"/>
    <col min="7" max="16384" width="9" style="407"/>
  </cols>
  <sheetData>
    <row r="1" spans="1:6" s="406" customFormat="1" ht="21.75" x14ac:dyDescent="0.6">
      <c r="A1" s="457" t="s">
        <v>350</v>
      </c>
      <c r="B1" s="458"/>
      <c r="C1" s="458"/>
      <c r="D1" s="369"/>
      <c r="E1" s="351"/>
      <c r="F1" s="445"/>
    </row>
    <row r="2" spans="1:6" s="406" customFormat="1" ht="21.75" customHeight="1" x14ac:dyDescent="0.6">
      <c r="A2" s="459" t="s">
        <v>352</v>
      </c>
      <c r="B2" s="460"/>
      <c r="C2" s="460"/>
      <c r="D2" s="370"/>
      <c r="E2" s="350"/>
      <c r="F2" s="446"/>
    </row>
    <row r="3" spans="1:6" s="406" customFormat="1" ht="20.25" customHeight="1" thickBot="1" x14ac:dyDescent="0.65">
      <c r="A3" s="461" t="s">
        <v>353</v>
      </c>
      <c r="B3" s="462"/>
      <c r="C3" s="462"/>
      <c r="D3" s="403"/>
      <c r="E3" s="377"/>
      <c r="F3" s="446"/>
    </row>
    <row r="4" spans="1:6" ht="24" customHeight="1" thickBot="1" x14ac:dyDescent="0.5">
      <c r="A4" s="463" t="s">
        <v>348</v>
      </c>
      <c r="B4" s="464"/>
      <c r="C4" s="464"/>
      <c r="D4" s="404" t="s">
        <v>245</v>
      </c>
      <c r="E4" s="400"/>
      <c r="F4" s="384"/>
    </row>
    <row r="5" spans="1:6" ht="22.5" x14ac:dyDescent="0.55000000000000004">
      <c r="A5" s="378" t="s">
        <v>327</v>
      </c>
      <c r="B5" s="379" t="s">
        <v>32</v>
      </c>
      <c r="C5" s="378" t="s">
        <v>126</v>
      </c>
      <c r="D5" s="380">
        <v>0</v>
      </c>
      <c r="E5" s="381" t="s">
        <v>241</v>
      </c>
      <c r="F5" s="382" t="s">
        <v>210</v>
      </c>
    </row>
    <row r="6" spans="1:6" ht="22.5" x14ac:dyDescent="0.55000000000000004">
      <c r="A6" s="352" t="s">
        <v>72</v>
      </c>
      <c r="B6" s="354" t="s">
        <v>74</v>
      </c>
      <c r="C6" s="352" t="s">
        <v>159</v>
      </c>
      <c r="D6" s="362" t="s">
        <v>92</v>
      </c>
      <c r="E6" s="4" t="s">
        <v>34</v>
      </c>
      <c r="F6" s="177" t="s">
        <v>31</v>
      </c>
    </row>
    <row r="7" spans="1:6" ht="22.5" x14ac:dyDescent="0.55000000000000004">
      <c r="A7" s="352" t="s">
        <v>76</v>
      </c>
      <c r="B7" s="354" t="s">
        <v>77</v>
      </c>
      <c r="C7" s="352" t="s">
        <v>95</v>
      </c>
      <c r="D7" s="363">
        <v>120</v>
      </c>
      <c r="E7" s="4" t="s">
        <v>35</v>
      </c>
      <c r="F7" s="177">
        <v>5</v>
      </c>
    </row>
    <row r="8" spans="1:6" ht="22.5" x14ac:dyDescent="0.55000000000000004">
      <c r="A8" s="352" t="s">
        <v>83</v>
      </c>
      <c r="B8" s="354">
        <v>4</v>
      </c>
      <c r="C8" s="352" t="s">
        <v>168</v>
      </c>
      <c r="D8" s="364">
        <v>21</v>
      </c>
      <c r="E8" s="4" t="s">
        <v>197</v>
      </c>
      <c r="F8" s="176">
        <v>620000</v>
      </c>
    </row>
    <row r="9" spans="1:6" ht="22.5" x14ac:dyDescent="0.55000000000000004">
      <c r="A9" s="352" t="s">
        <v>118</v>
      </c>
      <c r="B9" s="355" t="s">
        <v>116</v>
      </c>
      <c r="C9" s="352" t="s">
        <v>129</v>
      </c>
      <c r="D9" s="364">
        <v>0</v>
      </c>
      <c r="E9" s="4" t="s">
        <v>198</v>
      </c>
      <c r="F9" s="176">
        <v>320000</v>
      </c>
    </row>
    <row r="10" spans="1:6" ht="22.5" x14ac:dyDescent="0.55000000000000004">
      <c r="A10" s="352" t="s">
        <v>160</v>
      </c>
      <c r="B10" s="356">
        <v>12</v>
      </c>
      <c r="C10" s="352" t="s">
        <v>130</v>
      </c>
      <c r="D10" s="364">
        <v>0</v>
      </c>
      <c r="E10" s="4" t="s">
        <v>199</v>
      </c>
      <c r="F10" s="176">
        <v>4</v>
      </c>
    </row>
    <row r="11" spans="1:6" ht="22.5" x14ac:dyDescent="0.55000000000000004">
      <c r="A11" s="352" t="s">
        <v>161</v>
      </c>
      <c r="B11" s="356">
        <v>4</v>
      </c>
      <c r="C11" s="352" t="s">
        <v>131</v>
      </c>
      <c r="D11" s="364">
        <v>0</v>
      </c>
      <c r="E11" s="4" t="s">
        <v>213</v>
      </c>
      <c r="F11" s="177" t="s">
        <v>32</v>
      </c>
    </row>
    <row r="12" spans="1:6" ht="22.5" x14ac:dyDescent="0.55000000000000004">
      <c r="A12" s="352" t="s">
        <v>162</v>
      </c>
      <c r="B12" s="356">
        <v>12</v>
      </c>
      <c r="C12" s="352" t="s">
        <v>96</v>
      </c>
      <c r="D12" s="363">
        <v>0</v>
      </c>
      <c r="E12" s="4" t="s">
        <v>214</v>
      </c>
      <c r="F12" s="177" t="s">
        <v>32</v>
      </c>
    </row>
    <row r="13" spans="1:6" ht="22.5" x14ac:dyDescent="0.55000000000000004">
      <c r="A13" s="352" t="s">
        <v>163</v>
      </c>
      <c r="B13" s="356">
        <v>4</v>
      </c>
      <c r="C13" s="352" t="s">
        <v>97</v>
      </c>
      <c r="D13" s="362">
        <v>0</v>
      </c>
      <c r="E13" s="4" t="s">
        <v>29</v>
      </c>
      <c r="F13" s="178">
        <v>70</v>
      </c>
    </row>
    <row r="14" spans="1:6" ht="22.5" x14ac:dyDescent="0.55000000000000004">
      <c r="A14" s="352" t="s">
        <v>68</v>
      </c>
      <c r="B14" s="354">
        <v>9</v>
      </c>
      <c r="C14" s="352" t="s">
        <v>256</v>
      </c>
      <c r="D14" s="365" t="s">
        <v>32</v>
      </c>
      <c r="E14" s="4" t="s">
        <v>220</v>
      </c>
      <c r="F14" s="176">
        <v>0</v>
      </c>
    </row>
    <row r="15" spans="1:6" ht="22.5" x14ac:dyDescent="0.55000000000000004">
      <c r="A15" s="352" t="s">
        <v>164</v>
      </c>
      <c r="B15" s="354" t="s">
        <v>69</v>
      </c>
      <c r="C15" s="352" t="s">
        <v>33</v>
      </c>
      <c r="D15" s="363" t="s">
        <v>32</v>
      </c>
      <c r="E15" s="4" t="s">
        <v>221</v>
      </c>
      <c r="F15" s="177" t="s">
        <v>222</v>
      </c>
    </row>
    <row r="16" spans="1:6" ht="22.5" x14ac:dyDescent="0.55000000000000004">
      <c r="A16" s="352" t="s">
        <v>166</v>
      </c>
      <c r="B16" s="357">
        <v>0</v>
      </c>
      <c r="C16" s="352" t="s">
        <v>169</v>
      </c>
      <c r="D16" s="366">
        <v>0</v>
      </c>
      <c r="E16" s="4" t="s">
        <v>228</v>
      </c>
      <c r="F16" s="177" t="s">
        <v>32</v>
      </c>
    </row>
    <row r="17" spans="1:6" ht="22.5" x14ac:dyDescent="0.55000000000000004">
      <c r="A17" s="352" t="s">
        <v>167</v>
      </c>
      <c r="B17" s="357">
        <v>0</v>
      </c>
      <c r="C17" s="352" t="s">
        <v>215</v>
      </c>
      <c r="D17" s="367">
        <v>0</v>
      </c>
      <c r="E17" s="4" t="s">
        <v>236</v>
      </c>
      <c r="F17" s="179" t="s">
        <v>233</v>
      </c>
    </row>
    <row r="18" spans="1:6" ht="22.5" x14ac:dyDescent="0.55000000000000004">
      <c r="A18" s="352" t="s">
        <v>165</v>
      </c>
      <c r="B18" s="357">
        <v>450</v>
      </c>
      <c r="C18" s="352" t="s">
        <v>216</v>
      </c>
      <c r="D18" s="367">
        <v>0</v>
      </c>
      <c r="E18" s="4" t="s">
        <v>328</v>
      </c>
      <c r="F18" s="179">
        <v>30</v>
      </c>
    </row>
    <row r="19" spans="1:6" ht="22.5" x14ac:dyDescent="0.55000000000000004">
      <c r="A19" s="352" t="s">
        <v>23</v>
      </c>
      <c r="B19" s="356">
        <v>0</v>
      </c>
      <c r="C19" s="352" t="s">
        <v>173</v>
      </c>
      <c r="D19" s="363" t="s">
        <v>32</v>
      </c>
      <c r="E19" s="4" t="s">
        <v>244</v>
      </c>
      <c r="F19" s="180">
        <v>0</v>
      </c>
    </row>
    <row r="20" spans="1:6" ht="23.25" thickBot="1" x14ac:dyDescent="0.6">
      <c r="A20" s="353" t="s">
        <v>24</v>
      </c>
      <c r="B20" s="358">
        <v>0</v>
      </c>
      <c r="C20" s="353" t="s">
        <v>174</v>
      </c>
      <c r="D20" s="368">
        <v>0</v>
      </c>
      <c r="E20" s="4" t="s">
        <v>128</v>
      </c>
      <c r="F20" s="176">
        <v>6000000</v>
      </c>
    </row>
    <row r="21" spans="1:6" ht="21" thickBot="1" x14ac:dyDescent="0.5">
      <c r="A21" s="453" t="s">
        <v>349</v>
      </c>
      <c r="B21" s="454"/>
      <c r="C21" s="455"/>
      <c r="D21" s="456"/>
      <c r="E21" s="4" t="s">
        <v>227</v>
      </c>
      <c r="F21" s="176">
        <v>0</v>
      </c>
    </row>
    <row r="22" spans="1:6" ht="22.5" x14ac:dyDescent="0.45">
      <c r="A22" s="359" t="s">
        <v>25</v>
      </c>
      <c r="B22" s="372">
        <f>محاسبات!B17</f>
        <v>6.876524732</v>
      </c>
      <c r="C22" s="447" t="s">
        <v>187</v>
      </c>
      <c r="D22" s="448"/>
      <c r="E22" s="4" t="s">
        <v>226</v>
      </c>
      <c r="F22" s="176">
        <v>0</v>
      </c>
    </row>
    <row r="23" spans="1:6" ht="21" customHeight="1" thickBot="1" x14ac:dyDescent="0.5">
      <c r="A23" s="360" t="s">
        <v>65</v>
      </c>
      <c r="B23" s="373">
        <f>SUM('حکم کارگزینی'!E6,'حکم کارگزینی'!E8,'حکم کارگزینی'!E9,'حکم کارگزینی'!E13,'حکم کارگزینی'!E17)</f>
        <v>18743069.399999999</v>
      </c>
      <c r="C23" s="449" t="s">
        <v>188</v>
      </c>
      <c r="D23" s="450"/>
      <c r="E23" s="73" t="s">
        <v>36</v>
      </c>
      <c r="F23" s="176">
        <v>0</v>
      </c>
    </row>
    <row r="24" spans="1:6" ht="23.25" thickBot="1" x14ac:dyDescent="0.5">
      <c r="A24" s="360" t="s">
        <v>63</v>
      </c>
      <c r="B24" s="373">
        <f>محاسبات!I21</f>
        <v>20475939</v>
      </c>
      <c r="C24" s="359" t="s">
        <v>243</v>
      </c>
      <c r="D24" s="375">
        <f>محاسبات!D46</f>
        <v>737538.82405653852</v>
      </c>
      <c r="E24" s="206" t="s">
        <v>37</v>
      </c>
      <c r="F24" s="207">
        <v>0</v>
      </c>
    </row>
    <row r="25" spans="1:6" ht="22.5" x14ac:dyDescent="0.45">
      <c r="A25" s="360" t="s">
        <v>27</v>
      </c>
      <c r="B25" s="373">
        <f>'حکم کارگزینی'!G24-محاسبات!I21</f>
        <v>2521052.2028269246</v>
      </c>
      <c r="C25" s="360" t="s">
        <v>28</v>
      </c>
      <c r="D25" s="376">
        <f>(B25*100)/محاسبات!I21</f>
        <v>12.31226662096876</v>
      </c>
      <c r="E25" s="451" t="s">
        <v>245</v>
      </c>
      <c r="F25" s="452"/>
    </row>
    <row r="26" spans="1:6" ht="23.25" thickBot="1" x14ac:dyDescent="0.5">
      <c r="A26" s="361" t="s">
        <v>26</v>
      </c>
      <c r="B26" s="374">
        <f>'حکم کارگزینی'!G6/176</f>
        <v>76386.352534308418</v>
      </c>
      <c r="C26" s="361" t="s">
        <v>190</v>
      </c>
      <c r="D26" s="374">
        <f>'حکم کارگزینی'!G24</f>
        <v>22996991.202826925</v>
      </c>
      <c r="E26" s="443" t="s">
        <v>189</v>
      </c>
      <c r="F26" s="444"/>
    </row>
    <row r="27" spans="1:6" x14ac:dyDescent="0.45">
      <c r="A27" s="291"/>
      <c r="B27" s="291"/>
      <c r="C27" s="291"/>
      <c r="D27" s="290"/>
      <c r="E27" s="290"/>
      <c r="F27" s="290"/>
    </row>
    <row r="28" spans="1:6" x14ac:dyDescent="0.45">
      <c r="A28" s="406"/>
    </row>
  </sheetData>
  <sheetProtection algorithmName="SHA-512" hashValue="e36TTrkmlcwEQ6ktTiuRV1CMSTj+DIOTx2m4MWmiykiE2tdBzE64CGYmYyKqCYdcCwoCeWveqVfuG+I1V3tUmQ==" saltValue="dGsoK6gBaM3PGVA0Bs35Ag==" spinCount="100000" sheet="1" objects="1" scenarios="1"/>
  <mergeCells count="10">
    <mergeCell ref="E26:F26"/>
    <mergeCell ref="F1:F3"/>
    <mergeCell ref="C22:D22"/>
    <mergeCell ref="C23:D23"/>
    <mergeCell ref="E25:F25"/>
    <mergeCell ref="A21:D21"/>
    <mergeCell ref="A1:C1"/>
    <mergeCell ref="A2:C2"/>
    <mergeCell ref="A3:C3"/>
    <mergeCell ref="A4:C4"/>
  </mergeCells>
  <hyperlinks>
    <hyperlink ref="E26" r:id="rId1"/>
    <hyperlink ref="E25" r:id="rId2"/>
    <hyperlink ref="D4" r:id="rId3"/>
  </hyperlinks>
  <pageMargins left="0.7" right="0.7" top="0.75" bottom="0.75" header="0.3" footer="0.3"/>
  <pageSetup paperSize="9" scale="79" orientation="landscape" r:id="rId4"/>
  <drawing r:id="rId5"/>
  <legacyDrawing r:id="rId6"/>
  <extLst>
    <ext xmlns:x14="http://schemas.microsoft.com/office/spreadsheetml/2009/9/main" uri="{CCE6A557-97BC-4b89-ADB6-D9C93CAAB3DF}">
      <x14:dataValidations xmlns:xm="http://schemas.microsoft.com/office/excel/2006/main" count="27">
        <x14:dataValidation type="list" allowBlank="1" showInputMessage="1" showErrorMessage="1">
          <x14:formula1>
            <xm:f>محاسبات!$K$18:$K$22</xm:f>
          </x14:formula1>
          <xm:sqref>B15</xm:sqref>
        </x14:dataValidation>
        <x14:dataValidation type="list" allowBlank="1" showInputMessage="1" showErrorMessage="1">
          <x14:formula1>
            <xm:f>محاسبات!$AH$17:$AH$28</xm:f>
          </x14:formula1>
          <xm:sqref>D20</xm:sqref>
        </x14:dataValidation>
        <x14:dataValidation type="list" allowBlank="1" showInputMessage="1" showErrorMessage="1">
          <x14:formula1>
            <xm:f>محاسبات!$A$19:$A$21</xm:f>
          </x14:formula1>
          <xm:sqref>D6</xm:sqref>
        </x14:dataValidation>
        <x14:dataValidation type="list" allowBlank="1" showInputMessage="1" showErrorMessage="1">
          <x14:formula1>
            <xm:f>محاسبات!$C$82:$C$87</xm:f>
          </x14:formula1>
          <xm:sqref>D14</xm:sqref>
        </x14:dataValidation>
        <x14:dataValidation type="list" allowBlank="1" showInputMessage="1" showErrorMessage="1">
          <x14:formula1>
            <xm:f>محاسبات!$H$1:$H$12</xm:f>
          </x14:formula1>
          <xm:sqref>B13 B11 D13</xm:sqref>
        </x14:dataValidation>
        <x14:dataValidation type="list" allowBlank="1" showInputMessage="1" showErrorMessage="1">
          <x14:formula1>
            <xm:f>محاسبات!$H$1:$H$36</xm:f>
          </x14:formula1>
          <xm:sqref>B12 B10</xm:sqref>
        </x14:dataValidation>
        <x14:dataValidation type="list" allowBlank="1" showInputMessage="1" showErrorMessage="1">
          <x14:formula1>
            <xm:f>محاسبات!$H$1:$H$9</xm:f>
          </x14:formula1>
          <xm:sqref>B8</xm:sqref>
        </x14:dataValidation>
        <x14:dataValidation type="list" allowBlank="1" showInputMessage="1" showErrorMessage="1">
          <x14:formula1>
            <xm:f>محاسبات!$G$1:$G$26</xm:f>
          </x14:formula1>
          <xm:sqref>D17:D18</xm:sqref>
        </x14:dataValidation>
        <x14:dataValidation type="list" allowBlank="1" showInputMessage="1" showErrorMessage="1">
          <x14:formula1>
            <xm:f>محاسبات!$K$2:$K$17</xm:f>
          </x14:formula1>
          <xm:sqref>B14</xm:sqref>
        </x14:dataValidation>
        <x14:dataValidation type="list" allowBlank="1" showInputMessage="1" showErrorMessage="1">
          <x14:formula1>
            <xm:f>محاسبات!$H$1:$H$11</xm:f>
          </x14:formula1>
          <xm:sqref>B16:B17 F10</xm:sqref>
        </x14:dataValidation>
        <x14:dataValidation type="list" allowBlank="1" showInputMessage="1" showErrorMessage="1">
          <x14:formula1>
            <xm:f>محاسبات!$H$1:$H$51</xm:f>
          </x14:formula1>
          <xm:sqref>D8</xm:sqref>
        </x14:dataValidation>
        <x14:dataValidation type="list" allowBlank="1" showInputMessage="1" showErrorMessage="1">
          <x14:formula1>
            <xm:f>محاسبات!$H$1:$H$10</xm:f>
          </x14:formula1>
          <xm:sqref>F7</xm:sqref>
        </x14:dataValidation>
        <x14:dataValidation type="list" allowBlank="1" showInputMessage="1" showErrorMessage="1">
          <x14:formula1>
            <xm:f>محاسبات!$H$1:$H$32</xm:f>
          </x14:formula1>
          <xm:sqref>F14 F18</xm:sqref>
        </x14:dataValidation>
        <x14:dataValidation type="list" allowBlank="1" showInputMessage="1" showErrorMessage="1">
          <x14:formula1>
            <xm:f>محاسبات!$H$1:$H$5</xm:f>
          </x14:formula1>
          <xm:sqref>F19</xm:sqref>
        </x14:dataValidation>
        <x14:dataValidation type="list" allowBlank="1" showInputMessage="1" showErrorMessage="1">
          <x14:formula1>
            <xm:f>محاسبات!$H$1:$H$8</xm:f>
          </x14:formula1>
          <xm:sqref>D12</xm:sqref>
        </x14:dataValidation>
        <x14:dataValidation type="list" allowBlank="1" showInputMessage="1" showErrorMessage="1">
          <x14:formula1>
            <xm:f>محاسبات!$E$18:$E$23</xm:f>
          </x14:formula1>
          <xm:sqref>D16</xm:sqref>
        </x14:dataValidation>
        <x14:dataValidation type="list" allowBlank="1" showInputMessage="1" showErrorMessage="1">
          <x14:formula1>
            <xm:f>محاسبات!$C$46:$C$47</xm:f>
          </x14:formula1>
          <xm:sqref>F15</xm:sqref>
        </x14:dataValidation>
        <x14:dataValidation type="list" allowBlank="1" showInputMessage="1" showErrorMessage="1">
          <x14:formula1>
            <xm:f>محاسبات!$C$54:$C$56</xm:f>
          </x14:formula1>
          <xm:sqref>F17</xm:sqref>
        </x14:dataValidation>
        <x14:dataValidation type="list" allowBlank="1" showInputMessage="1" showErrorMessage="1">
          <x14:formula1>
            <xm:f>محاسبات!$F$1:$F$2</xm:f>
          </x14:formula1>
          <xm:sqref>D19 B5 F16 F11:F12 F6</xm:sqref>
        </x14:dataValidation>
        <x14:dataValidation type="list" allowBlank="1" showInputMessage="1" showErrorMessage="1">
          <x14:formula1>
            <xm:f>محاسبات!$F$3:$F$4</xm:f>
          </x14:formula1>
          <xm:sqref>B6</xm:sqref>
        </x14:dataValidation>
        <x14:dataValidation type="list" allowBlank="1" showInputMessage="1" showErrorMessage="1">
          <x14:formula1>
            <xm:f>محاسبات!$F$5:$F$8</xm:f>
          </x14:formula1>
          <xm:sqref>B7</xm:sqref>
        </x14:dataValidation>
        <x14:dataValidation type="list" allowBlank="1" showInputMessage="1" showErrorMessage="1">
          <x14:formula1>
            <xm:f>محاسبات!$D$1:$D$4</xm:f>
          </x14:formula1>
          <xm:sqref>D15</xm:sqref>
        </x14:dataValidation>
        <x14:dataValidation type="list" allowBlank="1" showInputMessage="1" showErrorMessage="1">
          <x14:formula1>
            <xm:f>محاسبات!$C$1:$C$2</xm:f>
          </x14:formula1>
          <xm:sqref>F5</xm:sqref>
        </x14:dataValidation>
        <x14:dataValidation type="list" allowBlank="1" showInputMessage="1" showErrorMessage="1">
          <x14:formula1>
            <xm:f>'حق شاغل و مالیات'!$B$4:$B$9</xm:f>
          </x14:formula1>
          <xm:sqref>B9</xm:sqref>
        </x14:dataValidation>
        <x14:dataValidation type="list" allowBlank="1" showInputMessage="1" showErrorMessage="1">
          <x14:formula1>
            <xm:f>محاسبات!$B$111:$B$123</xm:f>
          </x14:formula1>
          <xm:sqref>D9</xm:sqref>
        </x14:dataValidation>
        <x14:dataValidation type="list" allowBlank="1" showInputMessage="1" showErrorMessage="1">
          <x14:formula1>
            <xm:f>محاسبات!$D$111:$D$123</xm:f>
          </x14:formula1>
          <xm:sqref>D10</xm:sqref>
        </x14:dataValidation>
        <x14:dataValidation type="list" allowBlank="1" showInputMessage="1" showErrorMessage="1">
          <x14:formula1>
            <xm:f>محاسبات!$F$111:$F$123</xm:f>
          </x14:formula1>
          <xm:sqref>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I43"/>
  <sheetViews>
    <sheetView rightToLeft="1" zoomScale="90" zoomScaleNormal="90" zoomScaleSheetLayoutView="100" workbookViewId="0">
      <selection activeCell="C29" sqref="C29"/>
    </sheetView>
  </sheetViews>
  <sheetFormatPr defaultColWidth="9" defaultRowHeight="15" x14ac:dyDescent="0.25"/>
  <cols>
    <col min="1" max="1" width="4.5703125" style="408" customWidth="1"/>
    <col min="2" max="2" width="4.28515625" style="409" customWidth="1"/>
    <col min="3" max="3" width="43" style="408" customWidth="1"/>
    <col min="4" max="4" width="15" style="408" customWidth="1"/>
    <col min="5" max="5" width="22.7109375" style="408" customWidth="1"/>
    <col min="6" max="6" width="23.7109375" style="408" customWidth="1"/>
    <col min="7" max="7" width="27.140625" style="408" customWidth="1"/>
    <col min="8" max="8" width="6.140625" style="408" customWidth="1"/>
    <col min="9" max="9" width="15.85546875" style="408" customWidth="1"/>
    <col min="10" max="16384" width="9" style="408"/>
  </cols>
  <sheetData>
    <row r="1" spans="1:9" ht="36.75" customHeight="1" thickBot="1" x14ac:dyDescent="0.3">
      <c r="A1" s="371"/>
      <c r="B1" s="386"/>
      <c r="C1" s="474" t="s">
        <v>381</v>
      </c>
      <c r="D1" s="474"/>
      <c r="E1" s="474"/>
      <c r="F1" s="474"/>
      <c r="G1" s="474"/>
      <c r="H1" s="371"/>
    </row>
    <row r="2" spans="1:9" ht="84.75" customHeight="1" thickBot="1" x14ac:dyDescent="0.3">
      <c r="A2" s="481"/>
      <c r="B2" s="481"/>
      <c r="C2" s="440" t="s">
        <v>0</v>
      </c>
      <c r="D2" s="424" t="s">
        <v>1</v>
      </c>
      <c r="E2" s="423" t="s">
        <v>345</v>
      </c>
      <c r="F2" s="431" t="s">
        <v>360</v>
      </c>
      <c r="G2" s="387" t="s">
        <v>346</v>
      </c>
      <c r="H2" s="371"/>
    </row>
    <row r="3" spans="1:9" ht="27.75" x14ac:dyDescent="0.25">
      <c r="A3" s="392"/>
      <c r="B3" s="393"/>
      <c r="C3" s="415" t="s">
        <v>379</v>
      </c>
      <c r="D3" s="425">
        <f>محاسبات!R26</f>
        <v>4000</v>
      </c>
      <c r="E3" s="343">
        <f>D3*محاسبات!B5</f>
        <v>7188000</v>
      </c>
      <c r="F3" s="432">
        <f>E3*'ورود اطلاعات'!B22%</f>
        <v>494284.59773615998</v>
      </c>
      <c r="G3" s="419">
        <f>F3+E3</f>
        <v>7682284.5977361603</v>
      </c>
      <c r="H3" s="371"/>
    </row>
    <row r="4" spans="1:9" ht="27.75" x14ac:dyDescent="0.25">
      <c r="A4" s="392"/>
      <c r="B4" s="393"/>
      <c r="C4" s="416" t="s">
        <v>380</v>
      </c>
      <c r="D4" s="426">
        <f>IF('ورود اطلاعات'!D19=محاسبات!F1,0,محاسبات!M24)</f>
        <v>0</v>
      </c>
      <c r="E4" s="346">
        <f>D4*محاسبات!B5</f>
        <v>0</v>
      </c>
      <c r="F4" s="433">
        <f>E4*'ورود اطلاعات'!B22%</f>
        <v>0</v>
      </c>
      <c r="G4" s="420">
        <f>F4+E4</f>
        <v>0</v>
      </c>
      <c r="H4" s="371"/>
    </row>
    <row r="5" spans="1:9" ht="27.75" x14ac:dyDescent="0.25">
      <c r="A5" s="392"/>
      <c r="B5" s="393"/>
      <c r="C5" s="416" t="s">
        <v>378</v>
      </c>
      <c r="D5" s="426">
        <f>'حق شاغل و مالیات'!E19</f>
        <v>3000</v>
      </c>
      <c r="E5" s="346">
        <f>D5*محاسبات!B5</f>
        <v>5391000</v>
      </c>
      <c r="F5" s="433">
        <f>E5*'ورود اطلاعات'!B22%</f>
        <v>370713.44830212003</v>
      </c>
      <c r="G5" s="420">
        <f>F5+E5</f>
        <v>5761713.44830212</v>
      </c>
      <c r="H5" s="371"/>
    </row>
    <row r="6" spans="1:9" ht="27.75" x14ac:dyDescent="0.25">
      <c r="A6" s="393"/>
      <c r="B6" s="393"/>
      <c r="C6" s="416" t="s">
        <v>9</v>
      </c>
      <c r="D6" s="427">
        <f>SUM(D3:D5)</f>
        <v>7000</v>
      </c>
      <c r="E6" s="346">
        <f>SUM(E3:E5)</f>
        <v>12579000</v>
      </c>
      <c r="F6" s="433">
        <f>'حکم کارگزینی'!F3+'حکم کارگزینی'!F4+'حکم کارگزینی'!F5</f>
        <v>864998.04603828001</v>
      </c>
      <c r="G6" s="420">
        <f>G3+G4+G5</f>
        <v>13443998.046038281</v>
      </c>
      <c r="H6" s="371"/>
    </row>
    <row r="7" spans="1:9" ht="27.75" x14ac:dyDescent="0.25">
      <c r="A7" s="393"/>
      <c r="B7" s="393"/>
      <c r="C7" s="416" t="s">
        <v>377</v>
      </c>
      <c r="D7" s="427"/>
      <c r="E7" s="346">
        <f>'ورود اطلاعات'!B19</f>
        <v>0</v>
      </c>
      <c r="F7" s="433">
        <v>0</v>
      </c>
      <c r="G7" s="420">
        <f t="shared" ref="G7:G21" si="0">F7+E7</f>
        <v>0</v>
      </c>
      <c r="H7" s="371"/>
    </row>
    <row r="8" spans="1:9" ht="27.75" x14ac:dyDescent="0.25">
      <c r="A8" s="392"/>
      <c r="B8" s="393"/>
      <c r="C8" s="416" t="s">
        <v>372</v>
      </c>
      <c r="D8" s="426">
        <f>محاسبات!C22</f>
        <v>1500</v>
      </c>
      <c r="E8" s="346">
        <f>D8*محاسبات!B5</f>
        <v>2695500</v>
      </c>
      <c r="F8" s="433">
        <f>E8*'ورود اطلاعات'!B22%</f>
        <v>185356.72415106001</v>
      </c>
      <c r="G8" s="420">
        <f t="shared" si="0"/>
        <v>2880856.72415106</v>
      </c>
      <c r="H8" s="371"/>
      <c r="I8" s="441"/>
    </row>
    <row r="9" spans="1:9" ht="27.75" x14ac:dyDescent="0.25">
      <c r="A9" s="392"/>
      <c r="B9" s="393"/>
      <c r="C9" s="416" t="s">
        <v>367</v>
      </c>
      <c r="D9" s="427"/>
      <c r="E9" s="346">
        <f>محاسبات!D92</f>
        <v>3252929.4</v>
      </c>
      <c r="F9" s="433">
        <f>E9*'ورود اطلاعات'!B22%</f>
        <v>223688.49470549921</v>
      </c>
      <c r="G9" s="420">
        <f>SUM(G3:G5,G8,G13,G17)*'ورود اطلاعات'!D8%</f>
        <v>3476617.8947054995</v>
      </c>
      <c r="H9" s="371"/>
      <c r="I9" s="441"/>
    </row>
    <row r="10" spans="1:9" ht="27.75" x14ac:dyDescent="0.25">
      <c r="A10" s="393"/>
      <c r="B10" s="393"/>
      <c r="C10" s="416" t="s">
        <v>13</v>
      </c>
      <c r="D10" s="427"/>
      <c r="E10" s="346">
        <f>'ورود اطلاعات'!D17*(E6+E7)</f>
        <v>0</v>
      </c>
      <c r="F10" s="433">
        <v>0</v>
      </c>
      <c r="G10" s="420">
        <f>SUM(G3:G5,G7)*'ورود اطلاعات'!D17</f>
        <v>0</v>
      </c>
      <c r="H10" s="371"/>
      <c r="I10" s="442"/>
    </row>
    <row r="11" spans="1:9" ht="27.75" x14ac:dyDescent="0.25">
      <c r="A11" s="393"/>
      <c r="B11" s="393"/>
      <c r="C11" s="416" t="s">
        <v>14</v>
      </c>
      <c r="D11" s="427"/>
      <c r="E11" s="346">
        <f>'ورود اطلاعات'!D18*(E6+E7)</f>
        <v>0</v>
      </c>
      <c r="F11" s="433">
        <v>0</v>
      </c>
      <c r="G11" s="420">
        <f>SUM(G3:G5,G7)*'ورود اطلاعات'!D18</f>
        <v>0</v>
      </c>
      <c r="H11" s="371"/>
      <c r="I11" s="441"/>
    </row>
    <row r="12" spans="1:9" ht="27.75" x14ac:dyDescent="0.25">
      <c r="A12" s="393"/>
      <c r="B12" s="393"/>
      <c r="C12" s="416" t="s">
        <v>15</v>
      </c>
      <c r="D12" s="427"/>
      <c r="E12" s="346"/>
      <c r="F12" s="433">
        <v>0</v>
      </c>
      <c r="G12" s="420">
        <f t="shared" si="0"/>
        <v>0</v>
      </c>
      <c r="H12" s="371"/>
    </row>
    <row r="13" spans="1:9" ht="27.75" x14ac:dyDescent="0.25">
      <c r="A13" s="392"/>
      <c r="B13" s="393"/>
      <c r="C13" s="416" t="s">
        <v>373</v>
      </c>
      <c r="D13" s="426">
        <f>محاسبات!F127</f>
        <v>0</v>
      </c>
      <c r="E13" s="346">
        <f>D13*محاسبات!B5</f>
        <v>0</v>
      </c>
      <c r="F13" s="433">
        <f>E13*'ورود اطلاعات'!B22%</f>
        <v>0</v>
      </c>
      <c r="G13" s="420">
        <f t="shared" si="0"/>
        <v>0</v>
      </c>
      <c r="H13" s="371"/>
    </row>
    <row r="14" spans="1:9" ht="27.75" x14ac:dyDescent="0.25">
      <c r="A14" s="393"/>
      <c r="B14" s="393"/>
      <c r="C14" s="416" t="s">
        <v>17</v>
      </c>
      <c r="D14" s="427"/>
      <c r="E14" s="346">
        <f>محاسبات!E5</f>
        <v>0</v>
      </c>
      <c r="F14" s="433">
        <v>0</v>
      </c>
      <c r="G14" s="420">
        <f t="shared" si="0"/>
        <v>0</v>
      </c>
      <c r="H14" s="371"/>
    </row>
    <row r="15" spans="1:9" ht="27.75" x14ac:dyDescent="0.25">
      <c r="A15" s="393"/>
      <c r="B15" s="393"/>
      <c r="C15" s="416" t="s">
        <v>18</v>
      </c>
      <c r="D15" s="426">
        <f>محاسبات!F17</f>
        <v>0</v>
      </c>
      <c r="E15" s="346">
        <f>D15*محاسبات!B5</f>
        <v>0</v>
      </c>
      <c r="F15" s="433">
        <v>0</v>
      </c>
      <c r="G15" s="420">
        <f t="shared" si="0"/>
        <v>0</v>
      </c>
      <c r="H15" s="371"/>
    </row>
    <row r="16" spans="1:9" ht="27.75" x14ac:dyDescent="0.25">
      <c r="A16" s="393"/>
      <c r="B16" s="393"/>
      <c r="C16" s="416" t="s">
        <v>262</v>
      </c>
      <c r="D16" s="426">
        <f>محاسبات!D88</f>
        <v>0</v>
      </c>
      <c r="E16" s="346">
        <f>D16*محاسبات!B12</f>
        <v>0</v>
      </c>
      <c r="F16" s="433">
        <v>0</v>
      </c>
      <c r="G16" s="420">
        <f t="shared" si="0"/>
        <v>0</v>
      </c>
      <c r="H16" s="371"/>
    </row>
    <row r="17" spans="1:8" ht="27.75" x14ac:dyDescent="0.25">
      <c r="A17" s="392"/>
      <c r="B17" s="393"/>
      <c r="C17" s="416" t="s">
        <v>374</v>
      </c>
      <c r="D17" s="426">
        <f>'ورود اطلاعات'!D7</f>
        <v>120</v>
      </c>
      <c r="E17" s="346">
        <f>'ورود اطلاعات'!D7*محاسبات!B5</f>
        <v>215640</v>
      </c>
      <c r="F17" s="433">
        <f>E17*'ورود اطلاعات'!B22%</f>
        <v>14828.537932084801</v>
      </c>
      <c r="G17" s="420">
        <f t="shared" si="0"/>
        <v>230468.53793208482</v>
      </c>
      <c r="H17" s="371"/>
    </row>
    <row r="18" spans="1:8" ht="27.75" x14ac:dyDescent="0.25">
      <c r="A18" s="393"/>
      <c r="B18" s="393"/>
      <c r="C18" s="416" t="s">
        <v>64</v>
      </c>
      <c r="D18" s="426">
        <f>محاسبات!P11</f>
        <v>810</v>
      </c>
      <c r="E18" s="346">
        <f>D18*محاسبات!B12</f>
        <v>1455570</v>
      </c>
      <c r="F18" s="433">
        <v>0</v>
      </c>
      <c r="G18" s="420">
        <f t="shared" si="0"/>
        <v>1455570</v>
      </c>
      <c r="H18" s="371"/>
    </row>
    <row r="19" spans="1:8" ht="27.75" x14ac:dyDescent="0.25">
      <c r="A19" s="393"/>
      <c r="B19" s="393"/>
      <c r="C19" s="416" t="s">
        <v>20</v>
      </c>
      <c r="D19" s="426">
        <f>محاسبات!S13</f>
        <v>840</v>
      </c>
      <c r="E19" s="346">
        <f>D19*محاسبات!B12</f>
        <v>1509480</v>
      </c>
      <c r="F19" s="433">
        <v>0</v>
      </c>
      <c r="G19" s="420">
        <f t="shared" si="0"/>
        <v>1509480</v>
      </c>
      <c r="H19" s="371"/>
    </row>
    <row r="20" spans="1:8" ht="27.75" x14ac:dyDescent="0.25">
      <c r="A20" s="393"/>
      <c r="B20" s="393"/>
      <c r="C20" s="416" t="s">
        <v>21</v>
      </c>
      <c r="D20" s="427"/>
      <c r="E20" s="346">
        <f>محاسبات!E24</f>
        <v>0</v>
      </c>
      <c r="F20" s="433">
        <v>0</v>
      </c>
      <c r="G20" s="420">
        <f>G3*'ورود اطلاعات'!D16</f>
        <v>0</v>
      </c>
      <c r="H20" s="371"/>
    </row>
    <row r="21" spans="1:8" ht="27.75" x14ac:dyDescent="0.25">
      <c r="A21" s="393"/>
      <c r="B21" s="393"/>
      <c r="C21" s="416" t="s">
        <v>22</v>
      </c>
      <c r="D21" s="427"/>
      <c r="E21" s="346">
        <f>'ورود اطلاعات'!B20</f>
        <v>0</v>
      </c>
      <c r="F21" s="433">
        <v>0</v>
      </c>
      <c r="G21" s="420">
        <f t="shared" si="0"/>
        <v>0</v>
      </c>
      <c r="H21" s="371"/>
    </row>
    <row r="22" spans="1:8" ht="27.75" x14ac:dyDescent="0.25">
      <c r="A22" s="393"/>
      <c r="B22" s="393"/>
      <c r="C22" s="417" t="s">
        <v>301</v>
      </c>
      <c r="D22" s="428"/>
      <c r="E22" s="437">
        <f>'ورود اطلاعات'!B23*'ورود اطلاعات'!B22%</f>
        <v>1288871.802826924</v>
      </c>
      <c r="F22" s="434"/>
      <c r="G22" s="421" t="s">
        <v>351</v>
      </c>
      <c r="H22" s="371"/>
    </row>
    <row r="23" spans="1:8" ht="28.5" thickBot="1" x14ac:dyDescent="0.3">
      <c r="A23" s="393"/>
      <c r="B23" s="393"/>
      <c r="C23" s="418" t="s">
        <v>248</v>
      </c>
      <c r="D23" s="429"/>
      <c r="E23" s="347">
        <f>محاسبات!D69</f>
        <v>0</v>
      </c>
      <c r="F23" s="435">
        <v>0</v>
      </c>
      <c r="G23" s="422">
        <f>محاسبات!D68</f>
        <v>0</v>
      </c>
      <c r="H23" s="371"/>
    </row>
    <row r="24" spans="1:8" ht="31.5" thickBot="1" x14ac:dyDescent="0.3">
      <c r="A24" s="388"/>
      <c r="B24" s="388"/>
      <c r="C24" s="439" t="s">
        <v>347</v>
      </c>
      <c r="D24" s="430">
        <f>SUM(D6:D23)</f>
        <v>10270</v>
      </c>
      <c r="E24" s="438">
        <f>SUM(E3:E5,E7:E23)</f>
        <v>22996991.202826921</v>
      </c>
      <c r="F24" s="436">
        <f>SUM(F3:F5,F7:F23)</f>
        <v>1288871.802826924</v>
      </c>
      <c r="G24" s="345">
        <f>SUM(G3:G5,G7:G23)</f>
        <v>22996991.202826925</v>
      </c>
      <c r="H24" s="371"/>
    </row>
    <row r="25" spans="1:8" ht="29.25" thickBot="1" x14ac:dyDescent="0.5">
      <c r="A25" s="386"/>
      <c r="B25" s="386"/>
      <c r="C25" s="371"/>
      <c r="D25" s="396"/>
      <c r="E25" s="396"/>
      <c r="F25" s="396"/>
      <c r="G25" s="396"/>
      <c r="H25" s="371"/>
    </row>
    <row r="26" spans="1:8" ht="28.5" thickBot="1" x14ac:dyDescent="0.3">
      <c r="A26" s="386"/>
      <c r="B26" s="386"/>
      <c r="C26" s="484" t="s">
        <v>357</v>
      </c>
      <c r="D26" s="485"/>
      <c r="E26" s="344">
        <f>E6/176</f>
        <v>71471.590909090912</v>
      </c>
      <c r="F26" s="371"/>
      <c r="G26" s="348" t="s">
        <v>341</v>
      </c>
      <c r="H26" s="371"/>
    </row>
    <row r="27" spans="1:8" ht="28.5" thickBot="1" x14ac:dyDescent="0.3">
      <c r="A27" s="386"/>
      <c r="B27" s="386"/>
      <c r="C27" s="486" t="s">
        <v>339</v>
      </c>
      <c r="D27" s="487"/>
      <c r="E27" s="344">
        <f>G6/176</f>
        <v>76386.352534308418</v>
      </c>
      <c r="F27" s="371"/>
      <c r="G27" s="349">
        <f>'ورود اطلاعات'!D16</f>
        <v>0</v>
      </c>
      <c r="H27" s="371"/>
    </row>
    <row r="28" spans="1:8" ht="31.5" thickBot="1" x14ac:dyDescent="0.3">
      <c r="A28" s="386"/>
      <c r="B28" s="386"/>
      <c r="C28" s="482" t="s">
        <v>359</v>
      </c>
      <c r="D28" s="483"/>
      <c r="E28" s="344">
        <f>E27-E26</f>
        <v>4914.7616252175067</v>
      </c>
      <c r="F28" s="371"/>
      <c r="G28" s="371"/>
      <c r="H28" s="371"/>
    </row>
    <row r="29" spans="1:8" ht="31.5" thickBot="1" x14ac:dyDescent="0.3">
      <c r="A29" s="386"/>
      <c r="B29" s="386"/>
      <c r="C29" s="394"/>
      <c r="D29" s="394"/>
      <c r="E29" s="395"/>
      <c r="F29" s="399"/>
      <c r="G29" s="348" t="s">
        <v>342</v>
      </c>
      <c r="H29" s="371"/>
    </row>
    <row r="30" spans="1:8" ht="28.5" thickBot="1" x14ac:dyDescent="0.3">
      <c r="A30" s="386"/>
      <c r="B30" s="386"/>
      <c r="C30" s="488" t="s">
        <v>344</v>
      </c>
      <c r="D30" s="489"/>
      <c r="E30" s="344">
        <f>E24</f>
        <v>22996991.202826921</v>
      </c>
      <c r="F30" s="480"/>
      <c r="G30" s="349">
        <f>'ورود اطلاعات'!D18</f>
        <v>0</v>
      </c>
      <c r="H30" s="371"/>
    </row>
    <row r="31" spans="1:8" ht="28.5" thickBot="1" x14ac:dyDescent="0.3">
      <c r="A31" s="386"/>
      <c r="B31" s="386"/>
      <c r="C31" s="486" t="s">
        <v>340</v>
      </c>
      <c r="D31" s="487"/>
      <c r="E31" s="344">
        <f>G24</f>
        <v>22996991.202826925</v>
      </c>
      <c r="F31" s="480"/>
      <c r="G31" s="371"/>
      <c r="H31" s="371"/>
    </row>
    <row r="32" spans="1:8" ht="31.5" thickBot="1" x14ac:dyDescent="0.3">
      <c r="A32" s="386"/>
      <c r="B32" s="386"/>
      <c r="C32" s="482" t="s">
        <v>359</v>
      </c>
      <c r="D32" s="483"/>
      <c r="E32" s="344">
        <f>E31-E30</f>
        <v>0</v>
      </c>
      <c r="F32" s="480"/>
      <c r="G32" s="348" t="s">
        <v>343</v>
      </c>
      <c r="H32" s="371"/>
    </row>
    <row r="33" spans="1:8" ht="23.25" thickBot="1" x14ac:dyDescent="0.35">
      <c r="A33" s="386"/>
      <c r="B33" s="386"/>
      <c r="C33" s="401"/>
      <c r="D33" s="371"/>
      <c r="E33" s="371"/>
      <c r="F33" s="480"/>
      <c r="G33" s="349">
        <f>'ورود اطلاعات'!D17</f>
        <v>0</v>
      </c>
      <c r="H33" s="371"/>
    </row>
    <row r="34" spans="1:8" ht="23.25" customHeight="1" thickBot="1" x14ac:dyDescent="0.3">
      <c r="A34" s="475"/>
      <c r="B34" s="478" t="s">
        <v>375</v>
      </c>
      <c r="C34" s="479"/>
      <c r="D34" s="371"/>
      <c r="E34" s="405" t="s">
        <v>376</v>
      </c>
      <c r="F34" s="402" t="s">
        <v>245</v>
      </c>
      <c r="G34" s="400"/>
      <c r="H34" s="371"/>
    </row>
    <row r="35" spans="1:8" ht="22.5" customHeight="1" x14ac:dyDescent="0.25">
      <c r="A35" s="475"/>
      <c r="B35" s="397" t="s">
        <v>361</v>
      </c>
      <c r="C35" s="391" t="s">
        <v>368</v>
      </c>
      <c r="D35" s="371"/>
      <c r="E35" s="465" t="str">
        <f>IF(E32=0,محاسبات!C137,محاسبات!C134)</f>
        <v>ضمن افزایش در نرخ اضافه کار و حق ماموریت، چون کارمند مشمول هیچ یک از فوق العاده های نوبت کاری، مناطق کمتر توسعه یافته، بدی آب و هوا و مابه التفاوت حداقل حقوق نمی باشد، حکم کارگزینی ایشان، پس از اعمال تغییرات ناشی از اصلاح تصویب نامه، شامل افزایش نخواهد بود.</v>
      </c>
      <c r="F35" s="466"/>
      <c r="G35" s="467"/>
      <c r="H35" s="371"/>
    </row>
    <row r="36" spans="1:8" ht="22.5" customHeight="1" x14ac:dyDescent="0.25">
      <c r="A36" s="475"/>
      <c r="B36" s="397" t="s">
        <v>362</v>
      </c>
      <c r="C36" s="389" t="s">
        <v>369</v>
      </c>
      <c r="D36" s="371"/>
      <c r="E36" s="468"/>
      <c r="F36" s="469"/>
      <c r="G36" s="470"/>
      <c r="H36" s="371"/>
    </row>
    <row r="37" spans="1:8" ht="22.5" customHeight="1" x14ac:dyDescent="0.25">
      <c r="A37" s="475"/>
      <c r="B37" s="397" t="s">
        <v>364</v>
      </c>
      <c r="C37" s="389" t="s">
        <v>12</v>
      </c>
      <c r="D37" s="371"/>
      <c r="E37" s="468"/>
      <c r="F37" s="469"/>
      <c r="G37" s="470"/>
      <c r="H37" s="371"/>
    </row>
    <row r="38" spans="1:8" ht="22.5" customHeight="1" x14ac:dyDescent="0.25">
      <c r="A38" s="475"/>
      <c r="B38" s="397" t="s">
        <v>365</v>
      </c>
      <c r="C38" s="389" t="s">
        <v>370</v>
      </c>
      <c r="D38" s="371"/>
      <c r="E38" s="468"/>
      <c r="F38" s="469"/>
      <c r="G38" s="470"/>
      <c r="H38" s="371"/>
    </row>
    <row r="39" spans="1:8" ht="23.25" customHeight="1" thickBot="1" x14ac:dyDescent="0.3">
      <c r="A39" s="475"/>
      <c r="B39" s="398" t="s">
        <v>366</v>
      </c>
      <c r="C39" s="390" t="s">
        <v>371</v>
      </c>
      <c r="D39" s="371"/>
      <c r="E39" s="468"/>
      <c r="F39" s="469"/>
      <c r="G39" s="470"/>
      <c r="H39" s="371"/>
    </row>
    <row r="40" spans="1:8" ht="27.75" customHeight="1" x14ac:dyDescent="0.25">
      <c r="A40" s="388"/>
      <c r="B40" s="476" t="s">
        <v>385</v>
      </c>
      <c r="C40" s="476"/>
      <c r="D40" s="476"/>
      <c r="E40" s="468"/>
      <c r="F40" s="469"/>
      <c r="G40" s="470"/>
      <c r="H40" s="371"/>
    </row>
    <row r="41" spans="1:8" ht="16.5" thickBot="1" x14ac:dyDescent="0.3">
      <c r="A41" s="386"/>
      <c r="B41" s="477" t="s">
        <v>189</v>
      </c>
      <c r="C41" s="477"/>
      <c r="D41" s="477"/>
      <c r="E41" s="471"/>
      <c r="F41" s="472"/>
      <c r="G41" s="473"/>
      <c r="H41" s="371"/>
    </row>
    <row r="42" spans="1:8" x14ac:dyDescent="0.25">
      <c r="A42" s="386"/>
      <c r="B42" s="386"/>
      <c r="C42" s="371"/>
      <c r="D42" s="371"/>
      <c r="E42" s="371"/>
      <c r="F42" s="371"/>
      <c r="G42" s="371"/>
      <c r="H42" s="371"/>
    </row>
    <row r="43" spans="1:8" x14ac:dyDescent="0.25">
      <c r="A43" s="409"/>
    </row>
  </sheetData>
  <sheetProtection algorithmName="SHA-512" hashValue="ID0qECmkr/nHPpk3SPKkfIHhcxdnWsdwGqTEkKPIo7BfPAnHIR1DoV1Yhs7q9YXcpwCsrfqqvWu46ZDZ7bP9yw==" saltValue="rUXDxiOAJbqSu7Q1lDx1Ww==" spinCount="100000" sheet="1" objects="1" scenarios="1"/>
  <mergeCells count="14">
    <mergeCell ref="E35:G41"/>
    <mergeCell ref="C1:G1"/>
    <mergeCell ref="A34:A39"/>
    <mergeCell ref="B40:D40"/>
    <mergeCell ref="B41:D41"/>
    <mergeCell ref="B34:C34"/>
    <mergeCell ref="F30:F33"/>
    <mergeCell ref="A2:B2"/>
    <mergeCell ref="C32:D32"/>
    <mergeCell ref="C26:D26"/>
    <mergeCell ref="C27:D27"/>
    <mergeCell ref="C30:D30"/>
    <mergeCell ref="C31:D31"/>
    <mergeCell ref="C28:D28"/>
  </mergeCells>
  <hyperlinks>
    <hyperlink ref="F34" r:id="rId1"/>
    <hyperlink ref="B41" r:id="rId2"/>
  </hyperlinks>
  <pageMargins left="0.7" right="0.7" top="0.75" bottom="0.75" header="0.3" footer="0.3"/>
  <pageSetup paperSize="9" scale="4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I47"/>
  <sheetViews>
    <sheetView rightToLeft="1" zoomScaleNormal="100" workbookViewId="0">
      <selection activeCell="A7" sqref="A7"/>
    </sheetView>
  </sheetViews>
  <sheetFormatPr defaultColWidth="9" defaultRowHeight="15" x14ac:dyDescent="0.25"/>
  <cols>
    <col min="1" max="1" width="39.42578125" style="411" customWidth="1"/>
    <col min="2" max="2" width="14.85546875" style="411" bestFit="1" customWidth="1"/>
    <col min="3" max="3" width="9" style="411"/>
    <col min="4" max="4" width="21.140625" style="411" customWidth="1"/>
    <col min="5" max="5" width="22.42578125" style="411" customWidth="1"/>
    <col min="6" max="16384" width="9" style="411"/>
  </cols>
  <sheetData>
    <row r="1" spans="1:9" ht="75" customHeight="1" thickBot="1" x14ac:dyDescent="0.3">
      <c r="A1" s="490" t="s">
        <v>55</v>
      </c>
      <c r="B1" s="490"/>
      <c r="C1" s="490"/>
      <c r="D1" s="490"/>
      <c r="E1" s="175"/>
      <c r="F1" s="410"/>
      <c r="G1" s="410"/>
      <c r="H1" s="410"/>
      <c r="I1" s="410"/>
    </row>
    <row r="2" spans="1:9" ht="22.5" thickBot="1" x14ac:dyDescent="0.3">
      <c r="A2" s="78" t="s">
        <v>38</v>
      </c>
      <c r="B2" s="78" t="s">
        <v>39</v>
      </c>
      <c r="C2" s="502" t="s">
        <v>40</v>
      </c>
      <c r="D2" s="503"/>
      <c r="E2" s="78" t="s">
        <v>39</v>
      </c>
      <c r="F2" s="410"/>
      <c r="G2" s="410"/>
      <c r="H2" s="410"/>
      <c r="I2" s="410"/>
    </row>
    <row r="3" spans="1:9" ht="18.75" x14ac:dyDescent="0.45">
      <c r="A3" s="79" t="s">
        <v>62</v>
      </c>
      <c r="B3" s="80">
        <f>'حکم کارگزینی'!G6</f>
        <v>13443998.046038281</v>
      </c>
      <c r="C3" s="504" t="s">
        <v>44</v>
      </c>
      <c r="D3" s="505"/>
      <c r="E3" s="164">
        <f>IF(محاسبات!F2='ورود اطلاعات'!F12,محاسبات!F40,0)</f>
        <v>1402235.8841978849</v>
      </c>
      <c r="F3" s="410"/>
      <c r="G3" s="410"/>
      <c r="H3" s="410"/>
      <c r="I3" s="410"/>
    </row>
    <row r="4" spans="1:9" ht="18.75" x14ac:dyDescent="0.45">
      <c r="A4" s="81" t="s">
        <v>41</v>
      </c>
      <c r="B4" s="82">
        <f>SUM('حکم کارگزینی'!G7:G23)</f>
        <v>9552993.1567886434</v>
      </c>
      <c r="C4" s="493" t="s">
        <v>45</v>
      </c>
      <c r="D4" s="494"/>
      <c r="E4" s="165">
        <f>IF(محاسبات!F2='ورود اطلاعات'!F12,محاسبات!E34,0)</f>
        <v>3720000</v>
      </c>
      <c r="F4" s="410"/>
      <c r="G4" s="410"/>
      <c r="H4" s="410"/>
      <c r="I4" s="410"/>
    </row>
    <row r="5" spans="1:9" ht="18.75" x14ac:dyDescent="0.45">
      <c r="A5" s="81" t="s">
        <v>251</v>
      </c>
      <c r="B5" s="83">
        <f>'ورود اطلاعات'!B26*'ورود اطلاعات'!F13</f>
        <v>5347044.6774015892</v>
      </c>
      <c r="C5" s="493" t="s">
        <v>46</v>
      </c>
      <c r="D5" s="494"/>
      <c r="E5" s="165">
        <f>محاسبات!B9</f>
        <v>269550</v>
      </c>
      <c r="F5" s="410"/>
      <c r="G5" s="410"/>
      <c r="H5" s="410"/>
      <c r="I5" s="410"/>
    </row>
    <row r="6" spans="1:9" ht="18.75" x14ac:dyDescent="0.45">
      <c r="A6" s="81" t="s">
        <v>30</v>
      </c>
      <c r="B6" s="83">
        <f>'ورود اطلاعات'!F20</f>
        <v>6000000</v>
      </c>
      <c r="C6" s="493" t="s">
        <v>50</v>
      </c>
      <c r="D6" s="494"/>
      <c r="E6" s="165">
        <f>IF(محاسبات!F2='ورود اطلاعات'!F11,'حق شاغل و مالیات'!O10,0)</f>
        <v>0</v>
      </c>
      <c r="F6" s="410"/>
      <c r="G6" s="410"/>
      <c r="H6" s="410"/>
      <c r="I6" s="410"/>
    </row>
    <row r="7" spans="1:9" ht="18.75" x14ac:dyDescent="0.45">
      <c r="A7" s="81" t="s">
        <v>42</v>
      </c>
      <c r="B7" s="82">
        <f>محاسبات!E58</f>
        <v>3090000</v>
      </c>
      <c r="C7" s="493" t="s">
        <v>47</v>
      </c>
      <c r="D7" s="494"/>
      <c r="E7" s="165">
        <f>'ورود اطلاعات'!F23</f>
        <v>0</v>
      </c>
      <c r="F7" s="410"/>
      <c r="G7" s="410"/>
      <c r="H7" s="410"/>
      <c r="I7" s="410"/>
    </row>
    <row r="8" spans="1:9" ht="18.75" x14ac:dyDescent="0.45">
      <c r="A8" s="81" t="s">
        <v>43</v>
      </c>
      <c r="B8" s="82">
        <f>IF('ورود اطلاعات'!F12=محاسبات!F1,0,محاسبات!E35)</f>
        <v>1280000</v>
      </c>
      <c r="C8" s="493" t="s">
        <v>48</v>
      </c>
      <c r="D8" s="494"/>
      <c r="E8" s="165">
        <f>'ورود اطلاعات'!F24</f>
        <v>0</v>
      </c>
      <c r="F8" s="410"/>
      <c r="G8" s="410"/>
      <c r="H8" s="410"/>
      <c r="I8" s="410"/>
    </row>
    <row r="9" spans="1:9" ht="18.75" x14ac:dyDescent="0.25">
      <c r="A9" s="81" t="s">
        <v>228</v>
      </c>
      <c r="B9" s="82">
        <f>IF(محاسبات!F2='ورود اطلاعات'!F16,0,300000)</f>
        <v>0</v>
      </c>
      <c r="C9" s="498"/>
      <c r="D9" s="499"/>
      <c r="E9" s="166"/>
      <c r="F9" s="410"/>
      <c r="G9" s="410"/>
      <c r="H9" s="410"/>
      <c r="I9" s="410"/>
    </row>
    <row r="10" spans="1:9" ht="18.75" x14ac:dyDescent="0.25">
      <c r="A10" s="81" t="s">
        <v>238</v>
      </c>
      <c r="B10" s="82">
        <f>محاسبات!E65</f>
        <v>0</v>
      </c>
      <c r="C10" s="498"/>
      <c r="D10" s="499"/>
      <c r="E10" s="166"/>
      <c r="F10" s="410"/>
      <c r="G10" s="410"/>
      <c r="H10" s="410"/>
      <c r="I10" s="410"/>
    </row>
    <row r="11" spans="1:9" ht="18.75" x14ac:dyDescent="0.45">
      <c r="A11" s="81" t="s">
        <v>225</v>
      </c>
      <c r="B11" s="82">
        <f>'ورود اطلاعات'!F21</f>
        <v>0</v>
      </c>
      <c r="C11" s="500"/>
      <c r="D11" s="501"/>
      <c r="E11" s="165"/>
      <c r="F11" s="410"/>
      <c r="G11" s="410"/>
      <c r="H11" s="410"/>
      <c r="I11" s="410"/>
    </row>
    <row r="12" spans="1:9" ht="18.75" x14ac:dyDescent="0.45">
      <c r="A12" s="81" t="s">
        <v>240</v>
      </c>
      <c r="B12" s="82">
        <f>'ورود اطلاعات'!F22</f>
        <v>0</v>
      </c>
      <c r="C12" s="500"/>
      <c r="D12" s="501"/>
      <c r="E12" s="165"/>
      <c r="F12" s="410"/>
      <c r="G12" s="410"/>
      <c r="H12" s="410"/>
      <c r="I12" s="410"/>
    </row>
    <row r="13" spans="1:9" ht="18.75" x14ac:dyDescent="0.45">
      <c r="A13" s="81" t="s">
        <v>247</v>
      </c>
      <c r="B13" s="84">
        <f>محاسبات!E48</f>
        <v>0</v>
      </c>
      <c r="C13" s="500"/>
      <c r="D13" s="501"/>
      <c r="E13" s="165"/>
      <c r="F13" s="410"/>
      <c r="G13" s="410"/>
      <c r="H13" s="410"/>
      <c r="I13" s="410"/>
    </row>
    <row r="14" spans="1:9" ht="23.25" thickBot="1" x14ac:dyDescent="0.6">
      <c r="A14" s="181"/>
      <c r="B14" s="85"/>
      <c r="C14" s="506" t="s">
        <v>245</v>
      </c>
      <c r="D14" s="507"/>
      <c r="E14" s="167"/>
      <c r="F14" s="410"/>
      <c r="G14" s="410"/>
      <c r="H14" s="410"/>
      <c r="I14" s="410"/>
    </row>
    <row r="15" spans="1:9" ht="19.5" thickBot="1" x14ac:dyDescent="0.3">
      <c r="A15" s="86" t="s">
        <v>49</v>
      </c>
      <c r="B15" s="87">
        <f>SUM(B3:B14)</f>
        <v>38714035.880228512</v>
      </c>
      <c r="C15" s="491" t="s">
        <v>51</v>
      </c>
      <c r="D15" s="492"/>
      <c r="E15" s="87">
        <f>SUM(E3:E14)</f>
        <v>5391785.8841978852</v>
      </c>
      <c r="F15" s="410"/>
      <c r="G15" s="410"/>
      <c r="H15" s="410"/>
      <c r="I15" s="410"/>
    </row>
    <row r="16" spans="1:9" ht="19.5" thickBot="1" x14ac:dyDescent="0.3">
      <c r="A16" s="86" t="s">
        <v>246</v>
      </c>
      <c r="B16" s="87">
        <f>ROUND(محاسبات!B25,0)</f>
        <v>33322250</v>
      </c>
      <c r="C16" s="495" t="s">
        <v>189</v>
      </c>
      <c r="D16" s="496"/>
      <c r="E16" s="497"/>
      <c r="F16" s="410"/>
      <c r="G16" s="410"/>
      <c r="H16" s="410"/>
      <c r="I16" s="410"/>
    </row>
    <row r="17" spans="1:9" ht="15.75" thickBot="1" x14ac:dyDescent="0.3">
      <c r="A17" s="77"/>
      <c r="B17" s="77"/>
      <c r="C17" s="77"/>
      <c r="D17" s="77"/>
      <c r="E17" s="77"/>
      <c r="F17" s="410"/>
      <c r="G17" s="410"/>
      <c r="H17" s="410"/>
      <c r="I17" s="410"/>
    </row>
    <row r="18" spans="1:9" ht="31.5" customHeight="1" x14ac:dyDescent="0.25">
      <c r="A18" s="508" t="s">
        <v>338</v>
      </c>
      <c r="B18" s="509"/>
      <c r="C18" s="509"/>
      <c r="D18" s="509"/>
      <c r="E18" s="510"/>
      <c r="F18" s="410"/>
      <c r="G18" s="410"/>
      <c r="H18" s="410"/>
      <c r="I18" s="410"/>
    </row>
    <row r="19" spans="1:9" ht="30.75" customHeight="1" thickBot="1" x14ac:dyDescent="0.3">
      <c r="A19" s="511"/>
      <c r="B19" s="512"/>
      <c r="C19" s="512"/>
      <c r="D19" s="512"/>
      <c r="E19" s="513"/>
      <c r="F19" s="410"/>
      <c r="G19" s="410"/>
      <c r="H19" s="410"/>
      <c r="I19" s="410"/>
    </row>
    <row r="20" spans="1:9" x14ac:dyDescent="0.25">
      <c r="A20" s="410"/>
      <c r="B20" s="410"/>
      <c r="C20" s="410"/>
      <c r="D20" s="410"/>
      <c r="E20" s="410"/>
      <c r="F20" s="410"/>
      <c r="G20" s="410"/>
      <c r="H20" s="410"/>
      <c r="I20" s="410"/>
    </row>
    <row r="21" spans="1:9" x14ac:dyDescent="0.25">
      <c r="A21" s="410"/>
      <c r="B21" s="410"/>
      <c r="C21" s="410"/>
      <c r="D21" s="410"/>
      <c r="E21" s="410"/>
      <c r="F21" s="410"/>
      <c r="G21" s="410"/>
      <c r="H21" s="410"/>
      <c r="I21" s="410"/>
    </row>
    <row r="22" spans="1:9" x14ac:dyDescent="0.25">
      <c r="A22" s="410"/>
      <c r="B22" s="410"/>
      <c r="C22" s="410"/>
      <c r="D22" s="410"/>
      <c r="E22" s="410"/>
      <c r="F22" s="410"/>
      <c r="G22" s="410"/>
      <c r="H22" s="410"/>
      <c r="I22" s="410"/>
    </row>
    <row r="23" spans="1:9" x14ac:dyDescent="0.25">
      <c r="A23" s="410"/>
      <c r="B23" s="410"/>
      <c r="C23" s="410"/>
      <c r="D23" s="410"/>
      <c r="E23" s="410"/>
      <c r="F23" s="410"/>
      <c r="G23" s="410"/>
      <c r="H23" s="410"/>
      <c r="I23" s="410"/>
    </row>
    <row r="24" spans="1:9" x14ac:dyDescent="0.25">
      <c r="A24" s="410"/>
      <c r="B24" s="410"/>
      <c r="C24" s="410"/>
      <c r="D24" s="410"/>
      <c r="E24" s="410"/>
      <c r="F24" s="410"/>
      <c r="G24" s="410"/>
      <c r="H24" s="410"/>
      <c r="I24" s="410"/>
    </row>
    <row r="25" spans="1:9" x14ac:dyDescent="0.25">
      <c r="A25" s="410"/>
      <c r="B25" s="410"/>
      <c r="C25" s="410"/>
      <c r="D25" s="410"/>
      <c r="E25" s="410"/>
      <c r="F25" s="410"/>
      <c r="G25" s="410"/>
      <c r="H25" s="410"/>
      <c r="I25" s="410"/>
    </row>
    <row r="26" spans="1:9" x14ac:dyDescent="0.25">
      <c r="A26" s="410"/>
      <c r="B26" s="410"/>
      <c r="C26" s="410"/>
      <c r="D26" s="410"/>
      <c r="E26" s="410"/>
      <c r="F26" s="410"/>
      <c r="G26" s="410"/>
      <c r="H26" s="410"/>
      <c r="I26" s="410"/>
    </row>
    <row r="27" spans="1:9" x14ac:dyDescent="0.25">
      <c r="A27" s="410"/>
      <c r="B27" s="410"/>
      <c r="C27" s="410"/>
      <c r="D27" s="410"/>
      <c r="E27" s="410"/>
      <c r="F27" s="410"/>
      <c r="G27" s="410"/>
      <c r="H27" s="410"/>
      <c r="I27" s="410"/>
    </row>
    <row r="28" spans="1:9" x14ac:dyDescent="0.25">
      <c r="A28" s="410"/>
      <c r="B28" s="410"/>
      <c r="C28" s="410"/>
      <c r="D28" s="410"/>
      <c r="E28" s="410"/>
      <c r="F28" s="410"/>
      <c r="G28" s="410"/>
      <c r="H28" s="410"/>
      <c r="I28" s="410"/>
    </row>
    <row r="29" spans="1:9" x14ac:dyDescent="0.25">
      <c r="A29" s="410"/>
      <c r="B29" s="410"/>
      <c r="C29" s="410"/>
      <c r="D29" s="410"/>
      <c r="E29" s="410"/>
      <c r="F29" s="410"/>
      <c r="G29" s="410"/>
      <c r="H29" s="410"/>
      <c r="I29" s="410"/>
    </row>
    <row r="30" spans="1:9" x14ac:dyDescent="0.25">
      <c r="A30" s="410"/>
      <c r="B30" s="410"/>
      <c r="C30" s="410"/>
      <c r="D30" s="410"/>
      <c r="E30" s="410"/>
      <c r="F30" s="410"/>
      <c r="G30" s="410"/>
      <c r="H30" s="410"/>
      <c r="I30" s="410"/>
    </row>
    <row r="31" spans="1:9" x14ac:dyDescent="0.25">
      <c r="A31" s="410"/>
      <c r="B31" s="410"/>
      <c r="C31" s="410"/>
      <c r="D31" s="410"/>
      <c r="E31" s="410"/>
      <c r="F31" s="410"/>
      <c r="G31" s="410"/>
      <c r="H31" s="410"/>
      <c r="I31" s="410"/>
    </row>
    <row r="32" spans="1:9" x14ac:dyDescent="0.25">
      <c r="A32" s="410"/>
      <c r="B32" s="410"/>
      <c r="C32" s="410"/>
      <c r="D32" s="410"/>
      <c r="E32" s="410"/>
      <c r="F32" s="410"/>
      <c r="G32" s="410"/>
      <c r="H32" s="410"/>
      <c r="I32" s="410"/>
    </row>
    <row r="33" spans="1:9" x14ac:dyDescent="0.25">
      <c r="A33" s="410"/>
      <c r="B33" s="410"/>
      <c r="C33" s="410"/>
      <c r="D33" s="410"/>
      <c r="E33" s="410"/>
      <c r="F33" s="410"/>
      <c r="G33" s="410"/>
      <c r="H33" s="410"/>
      <c r="I33" s="410"/>
    </row>
    <row r="34" spans="1:9" x14ac:dyDescent="0.25">
      <c r="A34" s="410"/>
      <c r="B34" s="410"/>
      <c r="C34" s="410"/>
      <c r="D34" s="410"/>
      <c r="E34" s="410"/>
      <c r="F34" s="410"/>
      <c r="G34" s="410"/>
      <c r="H34" s="410"/>
      <c r="I34" s="410"/>
    </row>
    <row r="35" spans="1:9" x14ac:dyDescent="0.25">
      <c r="A35" s="410"/>
      <c r="B35" s="410"/>
      <c r="C35" s="410"/>
      <c r="D35" s="410"/>
      <c r="E35" s="410"/>
      <c r="F35" s="410"/>
      <c r="G35" s="410"/>
      <c r="H35" s="410"/>
      <c r="I35" s="410"/>
    </row>
    <row r="36" spans="1:9" x14ac:dyDescent="0.25">
      <c r="A36" s="410"/>
      <c r="B36" s="410"/>
      <c r="C36" s="410"/>
      <c r="D36" s="410"/>
      <c r="E36" s="410"/>
      <c r="F36" s="410"/>
      <c r="G36" s="410"/>
      <c r="H36" s="410"/>
      <c r="I36" s="410"/>
    </row>
    <row r="37" spans="1:9" x14ac:dyDescent="0.25">
      <c r="A37" s="410"/>
      <c r="B37" s="410"/>
      <c r="C37" s="410"/>
      <c r="D37" s="410"/>
      <c r="E37" s="410"/>
      <c r="F37" s="410"/>
      <c r="G37" s="410"/>
      <c r="H37" s="410"/>
      <c r="I37" s="410"/>
    </row>
    <row r="38" spans="1:9" x14ac:dyDescent="0.25">
      <c r="A38" s="410"/>
      <c r="B38" s="410"/>
      <c r="C38" s="410"/>
      <c r="D38" s="410"/>
      <c r="E38" s="410"/>
      <c r="F38" s="410"/>
      <c r="G38" s="410"/>
      <c r="H38" s="410"/>
      <c r="I38" s="410"/>
    </row>
    <row r="39" spans="1:9" x14ac:dyDescent="0.25">
      <c r="A39" s="410"/>
      <c r="B39" s="410"/>
      <c r="C39" s="410"/>
      <c r="D39" s="410"/>
      <c r="E39" s="410"/>
      <c r="F39" s="410"/>
      <c r="G39" s="410"/>
      <c r="H39" s="410"/>
      <c r="I39" s="410"/>
    </row>
    <row r="40" spans="1:9" x14ac:dyDescent="0.25">
      <c r="A40" s="410"/>
      <c r="B40" s="410"/>
      <c r="C40" s="410"/>
      <c r="D40" s="410"/>
      <c r="E40" s="410"/>
      <c r="F40" s="410"/>
      <c r="G40" s="410"/>
      <c r="H40" s="410"/>
      <c r="I40" s="410"/>
    </row>
    <row r="41" spans="1:9" x14ac:dyDescent="0.25">
      <c r="A41" s="410"/>
      <c r="B41" s="410"/>
      <c r="C41" s="410"/>
      <c r="D41" s="410"/>
      <c r="E41" s="410"/>
      <c r="F41" s="410"/>
      <c r="G41" s="410"/>
      <c r="H41" s="410"/>
      <c r="I41" s="410"/>
    </row>
    <row r="42" spans="1:9" x14ac:dyDescent="0.25">
      <c r="A42" s="410"/>
      <c r="B42" s="410"/>
      <c r="C42" s="410"/>
      <c r="D42" s="410"/>
      <c r="E42" s="410"/>
      <c r="F42" s="410"/>
      <c r="G42" s="410"/>
      <c r="H42" s="410"/>
      <c r="I42" s="410"/>
    </row>
    <row r="43" spans="1:9" x14ac:dyDescent="0.25">
      <c r="A43" s="410"/>
      <c r="B43" s="410"/>
      <c r="C43" s="410"/>
      <c r="D43" s="410"/>
      <c r="E43" s="410"/>
      <c r="F43" s="410"/>
      <c r="G43" s="410"/>
      <c r="H43" s="410"/>
      <c r="I43" s="410"/>
    </row>
    <row r="44" spans="1:9" x14ac:dyDescent="0.25">
      <c r="A44" s="410"/>
      <c r="B44" s="410"/>
      <c r="C44" s="410"/>
      <c r="D44" s="410"/>
      <c r="E44" s="410"/>
      <c r="F44" s="410"/>
      <c r="G44" s="410"/>
      <c r="H44" s="410"/>
      <c r="I44" s="410"/>
    </row>
    <row r="45" spans="1:9" x14ac:dyDescent="0.25">
      <c r="A45" s="410"/>
      <c r="B45" s="410"/>
      <c r="C45" s="410"/>
      <c r="D45" s="410"/>
      <c r="E45" s="410"/>
      <c r="F45" s="410"/>
      <c r="G45" s="410"/>
      <c r="H45" s="410"/>
      <c r="I45" s="410"/>
    </row>
    <row r="46" spans="1:9" x14ac:dyDescent="0.25">
      <c r="A46" s="410"/>
      <c r="B46" s="410"/>
      <c r="C46" s="410"/>
      <c r="D46" s="410"/>
      <c r="E46" s="410"/>
      <c r="F46" s="410"/>
      <c r="G46" s="410"/>
      <c r="H46" s="410"/>
      <c r="I46" s="410"/>
    </row>
    <row r="47" spans="1:9" x14ac:dyDescent="0.25">
      <c r="A47" s="410"/>
      <c r="B47" s="410"/>
      <c r="C47" s="410"/>
      <c r="D47" s="410"/>
      <c r="E47" s="410"/>
      <c r="F47" s="410"/>
      <c r="G47" s="410"/>
      <c r="H47" s="410"/>
      <c r="I47" s="410"/>
    </row>
  </sheetData>
  <sheetProtection algorithmName="SHA-512" hashValue="q8CaPcORg5J30lI/GBx/DdB9gh6pAgdXx6jzH8TUIP2sBUhWrQ39PnU91amLRBGlxUWA2mochEc8LD5Epb4Pkg==" saltValue="lAh+P2mUP/UUi3l8KyS+7A==" spinCount="100000" sheet="1" objects="1" scenarios="1"/>
  <mergeCells count="17">
    <mergeCell ref="A18:E19"/>
    <mergeCell ref="A1:D1"/>
    <mergeCell ref="C15:D15"/>
    <mergeCell ref="C6:D6"/>
    <mergeCell ref="C16:E16"/>
    <mergeCell ref="C7:D7"/>
    <mergeCell ref="C8:D8"/>
    <mergeCell ref="C9:D9"/>
    <mergeCell ref="C11:D11"/>
    <mergeCell ref="C12:D12"/>
    <mergeCell ref="C13:D13"/>
    <mergeCell ref="C2:D2"/>
    <mergeCell ref="C3:D3"/>
    <mergeCell ref="C4:D4"/>
    <mergeCell ref="C5:D5"/>
    <mergeCell ref="C14:D14"/>
    <mergeCell ref="C10:D10"/>
  </mergeCells>
  <hyperlinks>
    <hyperlink ref="C14" r:id="rId1"/>
    <hyperlink ref="C16" r:id="rId2"/>
  </hyperlinks>
  <pageMargins left="0.7" right="0.7" top="0.75" bottom="0.75" header="0.3" footer="0.3"/>
  <pageSetup paperSize="11" scale="68"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K140"/>
  <sheetViews>
    <sheetView rightToLeft="1" zoomScaleNormal="100" workbookViewId="0">
      <selection activeCell="D145" sqref="D145"/>
    </sheetView>
  </sheetViews>
  <sheetFormatPr defaultColWidth="9" defaultRowHeight="22.5" x14ac:dyDescent="0.55000000000000004"/>
  <cols>
    <col min="1" max="1" width="25.5703125" style="412" bestFit="1" customWidth="1"/>
    <col min="2" max="2" width="12.7109375" style="412" bestFit="1" customWidth="1"/>
    <col min="3" max="3" width="40.5703125" style="412" bestFit="1" customWidth="1"/>
    <col min="4" max="4" width="23.140625" style="412" bestFit="1" customWidth="1"/>
    <col min="5" max="5" width="18.85546875" style="412" customWidth="1"/>
    <col min="6" max="6" width="20.140625" style="412" bestFit="1" customWidth="1"/>
    <col min="7" max="7" width="10.140625" style="412" bestFit="1" customWidth="1"/>
    <col min="8" max="8" width="10.42578125" style="412" bestFit="1" customWidth="1"/>
    <col min="9" max="9" width="15" style="413" bestFit="1" customWidth="1"/>
    <col min="10" max="10" width="23.140625" style="414" bestFit="1" customWidth="1"/>
    <col min="11" max="11" width="9" style="412"/>
    <col min="12" max="12" width="10.42578125" style="412" bestFit="1" customWidth="1"/>
    <col min="13" max="14" width="9" style="412"/>
    <col min="15" max="16" width="8.85546875" style="412" customWidth="1"/>
    <col min="17" max="19" width="9" style="412"/>
    <col min="20" max="20" width="11.7109375" style="412" bestFit="1" customWidth="1"/>
    <col min="21" max="21" width="9" style="412"/>
    <col min="22" max="22" width="13.85546875" style="412" customWidth="1"/>
    <col min="23" max="23" width="9.42578125" style="412" bestFit="1" customWidth="1"/>
    <col min="24" max="24" width="9" style="412"/>
    <col min="25" max="25" width="14.42578125" style="412" bestFit="1" customWidth="1"/>
    <col min="26" max="26" width="9.42578125" style="412" bestFit="1" customWidth="1"/>
    <col min="27" max="28" width="9" style="412"/>
    <col min="29" max="29" width="7" style="412" bestFit="1" customWidth="1"/>
    <col min="30" max="30" width="13.85546875" style="412" bestFit="1" customWidth="1"/>
    <col min="31" max="31" width="9" style="412"/>
    <col min="32" max="32" width="13.5703125" style="412" bestFit="1" customWidth="1"/>
    <col min="33" max="33" width="9" style="412"/>
    <col min="34" max="34" width="20.7109375" style="412" customWidth="1"/>
    <col min="35" max="16384" width="9" style="412"/>
  </cols>
  <sheetData>
    <row r="1" spans="1:37" ht="23.25" thickBot="1" x14ac:dyDescent="0.6">
      <c r="A1" s="5"/>
      <c r="B1" s="131" t="s">
        <v>229</v>
      </c>
      <c r="C1" s="106" t="s">
        <v>210</v>
      </c>
      <c r="D1" s="104" t="s">
        <v>32</v>
      </c>
      <c r="E1" s="5"/>
      <c r="F1" s="6" t="s">
        <v>31</v>
      </c>
      <c r="G1" s="7">
        <v>0</v>
      </c>
      <c r="H1" s="8">
        <v>0</v>
      </c>
      <c r="I1" s="256" t="s">
        <v>2</v>
      </c>
      <c r="J1" s="251"/>
      <c r="K1" s="43" t="s">
        <v>73</v>
      </c>
      <c r="L1" s="9" t="s">
        <v>1</v>
      </c>
      <c r="M1" s="10"/>
      <c r="N1" s="11" t="s">
        <v>102</v>
      </c>
      <c r="O1" s="12" t="s">
        <v>103</v>
      </c>
      <c r="P1" s="13" t="s">
        <v>104</v>
      </c>
      <c r="Q1" s="11" t="s">
        <v>102</v>
      </c>
      <c r="R1" s="12" t="s">
        <v>103</v>
      </c>
      <c r="S1" s="13" t="s">
        <v>104</v>
      </c>
      <c r="T1" s="1"/>
      <c r="U1" s="1"/>
      <c r="V1" s="1"/>
      <c r="W1" s="1"/>
      <c r="X1" s="1"/>
      <c r="Y1" s="1"/>
      <c r="Z1" s="1"/>
      <c r="AA1" s="1"/>
      <c r="AB1" s="1"/>
      <c r="AC1" s="1"/>
      <c r="AD1" s="1"/>
      <c r="AE1" s="1"/>
      <c r="AF1" s="1"/>
      <c r="AG1" s="1"/>
      <c r="AH1" s="1"/>
      <c r="AI1" s="1"/>
      <c r="AJ1" s="1"/>
      <c r="AK1" s="5"/>
    </row>
    <row r="2" spans="1:37" ht="23.25" thickBot="1" x14ac:dyDescent="0.6">
      <c r="A2" s="5"/>
      <c r="B2" s="5"/>
      <c r="C2" s="107" t="s">
        <v>211</v>
      </c>
      <c r="D2" s="105" t="s">
        <v>156</v>
      </c>
      <c r="E2" s="5"/>
      <c r="F2" s="17" t="s">
        <v>32</v>
      </c>
      <c r="G2" s="18">
        <v>0.01</v>
      </c>
      <c r="H2" s="19">
        <v>1</v>
      </c>
      <c r="I2" s="257">
        <f>'حکم کارگزینی'!D3*محاسبات!B4</f>
        <v>6780000</v>
      </c>
      <c r="J2" s="252" t="s">
        <v>6</v>
      </c>
      <c r="K2" s="249">
        <v>1</v>
      </c>
      <c r="L2" s="20">
        <v>2400</v>
      </c>
      <c r="M2" s="10">
        <f>IF('ورود اطلاعات'!B14=محاسبات!K2,L2,0)</f>
        <v>0</v>
      </c>
      <c r="N2" s="21">
        <f>IF(F4='ورود اطلاعات'!B6,0,0)</f>
        <v>0</v>
      </c>
      <c r="O2" s="22">
        <f>IF(F5='ورود اطلاعات'!B7,0,0)</f>
        <v>0</v>
      </c>
      <c r="P2" s="23">
        <f t="shared" ref="P2:P9" si="0">O2*N2</f>
        <v>0</v>
      </c>
      <c r="Q2" s="21">
        <f>IF(F4='ورود اطلاعات'!B6,0,0)</f>
        <v>0</v>
      </c>
      <c r="R2" s="22">
        <f>IF(F5='ورود اطلاعات'!B7,0,0)</f>
        <v>0</v>
      </c>
      <c r="S2" s="247">
        <f t="shared" ref="S2:S9" si="1">R2*Q2</f>
        <v>0</v>
      </c>
      <c r="T2" s="1"/>
      <c r="U2" s="1"/>
      <c r="V2" s="1"/>
      <c r="W2" s="1"/>
      <c r="X2" s="1"/>
      <c r="Y2" s="1"/>
      <c r="Z2" s="1"/>
      <c r="AA2" s="1"/>
      <c r="AB2" s="1"/>
      <c r="AC2" s="1"/>
      <c r="AD2" s="1"/>
      <c r="AE2" s="1"/>
      <c r="AF2" s="1"/>
      <c r="AG2" s="1"/>
      <c r="AH2" s="1"/>
      <c r="AI2" s="1"/>
      <c r="AJ2" s="1"/>
      <c r="AK2" s="5"/>
    </row>
    <row r="3" spans="1:37" ht="23.25" thickBot="1" x14ac:dyDescent="0.6">
      <c r="A3" s="541" t="s">
        <v>5</v>
      </c>
      <c r="B3" s="541"/>
      <c r="C3" s="5"/>
      <c r="D3" s="26" t="s">
        <v>195</v>
      </c>
      <c r="E3" s="5"/>
      <c r="F3" s="27" t="s">
        <v>74</v>
      </c>
      <c r="G3" s="18">
        <v>0.02</v>
      </c>
      <c r="H3" s="19">
        <v>2</v>
      </c>
      <c r="I3" s="257">
        <f>'حکم کارگزینی'!D4*محاسبات!B4</f>
        <v>0</v>
      </c>
      <c r="J3" s="252" t="s">
        <v>7</v>
      </c>
      <c r="K3" s="249">
        <v>2</v>
      </c>
      <c r="L3" s="20">
        <v>2600</v>
      </c>
      <c r="M3" s="10">
        <f>IF(K3='ورود اطلاعات'!B14,L3,0)</f>
        <v>0</v>
      </c>
      <c r="N3" s="24">
        <f>IF(F4='ورود اطلاعات'!B6,0,0)</f>
        <v>0</v>
      </c>
      <c r="O3" s="9">
        <f>IF(F6='ورود اطلاعات'!B7,0,0)</f>
        <v>0</v>
      </c>
      <c r="P3" s="10">
        <f t="shared" si="0"/>
        <v>0</v>
      </c>
      <c r="Q3" s="218">
        <f>IF(F4='ورود اطلاعات'!B6,0,0)</f>
        <v>0</v>
      </c>
      <c r="R3" s="215">
        <f>IF(F6='ورود اطلاعات'!B7,0,0)</f>
        <v>0</v>
      </c>
      <c r="S3" s="58">
        <f t="shared" si="1"/>
        <v>0</v>
      </c>
      <c r="T3" s="1"/>
      <c r="U3" s="1"/>
      <c r="V3" s="1"/>
      <c r="W3" s="1"/>
      <c r="X3" s="1"/>
      <c r="Y3" s="1"/>
      <c r="Z3" s="1"/>
      <c r="AA3" s="1"/>
      <c r="AB3" s="1"/>
      <c r="AC3" s="1"/>
      <c r="AD3" s="1"/>
      <c r="AE3" s="1"/>
      <c r="AF3" s="1"/>
      <c r="AG3" s="1"/>
      <c r="AH3" s="1"/>
      <c r="AI3" s="1"/>
      <c r="AJ3" s="1"/>
      <c r="AK3" s="5"/>
    </row>
    <row r="4" spans="1:37" ht="23.25" thickBot="1" x14ac:dyDescent="0.6">
      <c r="A4" s="28" t="s">
        <v>3</v>
      </c>
      <c r="B4" s="20">
        <v>1695</v>
      </c>
      <c r="C4" s="5"/>
      <c r="D4" s="29" t="s">
        <v>157</v>
      </c>
      <c r="E4" s="123">
        <f>B7*25%</f>
        <v>2807500</v>
      </c>
      <c r="F4" s="30" t="s">
        <v>75</v>
      </c>
      <c r="G4" s="18">
        <v>0.03</v>
      </c>
      <c r="H4" s="19">
        <v>3</v>
      </c>
      <c r="I4" s="257">
        <f>'حکم کارگزینی'!D5*محاسبات!B4</f>
        <v>5085000</v>
      </c>
      <c r="J4" s="252" t="s">
        <v>8</v>
      </c>
      <c r="K4" s="249">
        <v>3</v>
      </c>
      <c r="L4" s="20">
        <v>2800</v>
      </c>
      <c r="M4" s="10">
        <f>IF(K4='ورود اطلاعات'!B14,L4,0)</f>
        <v>0</v>
      </c>
      <c r="N4" s="24">
        <f>IF(F4='ورود اطلاعات'!B6,0,0)</f>
        <v>0</v>
      </c>
      <c r="O4" s="9">
        <f>IF(F7='ورود اطلاعات'!B7,0,0)</f>
        <v>0</v>
      </c>
      <c r="P4" s="10">
        <f t="shared" si="0"/>
        <v>0</v>
      </c>
      <c r="Q4" s="218">
        <f>IF(F4='ورود اطلاعات'!B6,1,0)</f>
        <v>0</v>
      </c>
      <c r="R4" s="215">
        <f>IF(F7='ورود اطلاعات'!B7,1,0)</f>
        <v>0</v>
      </c>
      <c r="S4" s="58">
        <f t="shared" si="1"/>
        <v>0</v>
      </c>
      <c r="T4" s="1"/>
      <c r="U4" s="1"/>
      <c r="V4" s="1"/>
      <c r="W4" s="1"/>
      <c r="X4" s="1"/>
      <c r="Y4" s="1"/>
      <c r="Z4" s="1"/>
      <c r="AA4" s="1"/>
      <c r="AB4" s="1"/>
      <c r="AC4" s="1"/>
      <c r="AD4" s="1"/>
      <c r="AE4" s="1"/>
      <c r="AF4" s="1"/>
      <c r="AG4" s="1"/>
      <c r="AH4" s="1"/>
      <c r="AI4" s="1"/>
      <c r="AJ4" s="1"/>
      <c r="AK4" s="5"/>
    </row>
    <row r="5" spans="1:37" ht="23.25" thickBot="1" x14ac:dyDescent="0.6">
      <c r="A5" s="28" t="s">
        <v>172</v>
      </c>
      <c r="B5" s="20">
        <f>IF(F1='ورود اطلاعات'!D19,B4,B12)</f>
        <v>1797</v>
      </c>
      <c r="C5" s="5"/>
      <c r="D5" s="31" t="s">
        <v>158</v>
      </c>
      <c r="E5" s="32">
        <f>IF(D1='ورود اطلاعات'!D15,0,E4)</f>
        <v>0</v>
      </c>
      <c r="F5" s="33" t="s">
        <v>77</v>
      </c>
      <c r="G5" s="34">
        <v>0.04</v>
      </c>
      <c r="H5" s="19">
        <v>4</v>
      </c>
      <c r="I5" s="257">
        <f>SUM(I2:J4)</f>
        <v>11865000</v>
      </c>
      <c r="J5" s="252" t="s">
        <v>9</v>
      </c>
      <c r="K5" s="249">
        <v>4</v>
      </c>
      <c r="L5" s="20">
        <v>3000</v>
      </c>
      <c r="M5" s="10">
        <f>IF(K5='ورود اطلاعات'!B14,L5,0)</f>
        <v>0</v>
      </c>
      <c r="N5" s="24">
        <f>IF(F4='ورود اطلاعات'!B6,1,0)</f>
        <v>0</v>
      </c>
      <c r="O5" s="9">
        <f>IF(F8='ورود اطلاعات'!B7,1,0)</f>
        <v>0</v>
      </c>
      <c r="P5" s="10">
        <f t="shared" si="0"/>
        <v>0</v>
      </c>
      <c r="Q5" s="218">
        <f>IF(F4='ورود اطلاعات'!B6,1,0)</f>
        <v>0</v>
      </c>
      <c r="R5" s="215">
        <f>IF(F8='ورود اطلاعات'!B7,1,0)</f>
        <v>0</v>
      </c>
      <c r="S5" s="58">
        <f t="shared" si="1"/>
        <v>0</v>
      </c>
      <c r="T5" s="1"/>
      <c r="U5" s="1"/>
      <c r="V5" s="1"/>
      <c r="W5" s="1"/>
      <c r="X5" s="1"/>
      <c r="Y5" s="1"/>
      <c r="Z5" s="1"/>
      <c r="AA5" s="1"/>
      <c r="AB5" s="1"/>
      <c r="AC5" s="1"/>
      <c r="AD5" s="1"/>
      <c r="AE5" s="1"/>
      <c r="AF5" s="1"/>
      <c r="AG5" s="1"/>
      <c r="AH5" s="1"/>
      <c r="AI5" s="1"/>
      <c r="AJ5" s="1"/>
      <c r="AK5" s="5"/>
    </row>
    <row r="6" spans="1:37" x14ac:dyDescent="0.55000000000000004">
      <c r="A6" s="28" t="s">
        <v>4</v>
      </c>
      <c r="B6" s="124">
        <v>10350000</v>
      </c>
      <c r="C6" s="1"/>
      <c r="D6" s="1"/>
      <c r="E6" s="1"/>
      <c r="F6" s="35" t="s">
        <v>78</v>
      </c>
      <c r="G6" s="34">
        <v>0.05</v>
      </c>
      <c r="H6" s="19">
        <v>5</v>
      </c>
      <c r="I6" s="257">
        <f>'ورود اطلاعات'!B19</f>
        <v>0</v>
      </c>
      <c r="J6" s="252" t="s">
        <v>10</v>
      </c>
      <c r="K6" s="249">
        <v>5</v>
      </c>
      <c r="L6" s="20">
        <v>3200</v>
      </c>
      <c r="M6" s="10">
        <f>IF(K6='ورود اطلاعات'!B14,L6,0)</f>
        <v>0</v>
      </c>
      <c r="N6" s="24">
        <f>IF(F3='ورود اطلاعات'!B6,1,0)</f>
        <v>1</v>
      </c>
      <c r="O6" s="9">
        <f>IF(F5='ورود اطلاعات'!B7,1,0)</f>
        <v>1</v>
      </c>
      <c r="P6" s="10">
        <f t="shared" si="0"/>
        <v>1</v>
      </c>
      <c r="Q6" s="218">
        <f>IF(F3='ورود اطلاعات'!B6,1,0)</f>
        <v>1</v>
      </c>
      <c r="R6" s="215">
        <f>IF(F5='ورود اطلاعات'!B7,1,0)</f>
        <v>1</v>
      </c>
      <c r="S6" s="58">
        <f t="shared" si="1"/>
        <v>1</v>
      </c>
      <c r="T6" s="1"/>
      <c r="U6" s="1"/>
      <c r="V6" s="1"/>
      <c r="W6" s="1"/>
      <c r="X6" s="1"/>
      <c r="Y6" s="1"/>
      <c r="Z6" s="1"/>
      <c r="AA6" s="1"/>
      <c r="AB6" s="1"/>
      <c r="AC6" s="1"/>
      <c r="AD6" s="1"/>
      <c r="AE6" s="1"/>
      <c r="AF6" s="1"/>
      <c r="AG6" s="1"/>
      <c r="AH6" s="1"/>
      <c r="AI6" s="1"/>
      <c r="AJ6" s="1"/>
      <c r="AK6" s="5"/>
    </row>
    <row r="7" spans="1:37" x14ac:dyDescent="0.55000000000000004">
      <c r="A7" s="28" t="s">
        <v>170</v>
      </c>
      <c r="B7" s="124">
        <v>11230000</v>
      </c>
      <c r="C7" s="1"/>
      <c r="D7" s="1"/>
      <c r="E7" s="1"/>
      <c r="F7" s="35" t="s">
        <v>79</v>
      </c>
      <c r="G7" s="34">
        <v>0.06</v>
      </c>
      <c r="H7" s="19">
        <v>6</v>
      </c>
      <c r="I7" s="257">
        <f>'حکم کارگزینی'!D8*محاسبات!B4</f>
        <v>2542500</v>
      </c>
      <c r="J7" s="252" t="s">
        <v>11</v>
      </c>
      <c r="K7" s="249">
        <v>6</v>
      </c>
      <c r="L7" s="20">
        <v>3400</v>
      </c>
      <c r="M7" s="10">
        <f>IF(K7='ورود اطلاعات'!B14,L7,0)</f>
        <v>0</v>
      </c>
      <c r="N7" s="24">
        <f>IF(F3='ورود اطلاعات'!B6,0,0)</f>
        <v>0</v>
      </c>
      <c r="O7" s="9">
        <f>IF(F6='ورود اطلاعات'!B7,0,0)</f>
        <v>0</v>
      </c>
      <c r="P7" s="10">
        <f t="shared" si="0"/>
        <v>0</v>
      </c>
      <c r="Q7" s="218">
        <f>IF(F3='ورود اطلاعات'!B6,0,0)</f>
        <v>0</v>
      </c>
      <c r="R7" s="215">
        <f>IF(F6='ورود اطلاعات'!B7,0,0)</f>
        <v>0</v>
      </c>
      <c r="S7" s="58">
        <f t="shared" si="1"/>
        <v>0</v>
      </c>
      <c r="T7" s="1"/>
      <c r="U7" s="1"/>
      <c r="V7" s="1"/>
      <c r="W7" s="1"/>
      <c r="X7" s="1"/>
      <c r="Y7" s="1"/>
      <c r="Z7" s="1"/>
      <c r="AA7" s="1"/>
      <c r="AB7" s="1"/>
      <c r="AC7" s="1"/>
      <c r="AD7" s="1"/>
      <c r="AE7" s="1"/>
      <c r="AF7" s="1"/>
      <c r="AG7" s="1"/>
      <c r="AH7" s="1"/>
      <c r="AI7" s="1"/>
      <c r="AJ7" s="1"/>
      <c r="AK7" s="5"/>
    </row>
    <row r="8" spans="1:37" ht="23.25" thickBot="1" x14ac:dyDescent="0.6">
      <c r="A8" s="28" t="s">
        <v>42</v>
      </c>
      <c r="B8" s="124">
        <v>2602000</v>
      </c>
      <c r="C8" s="1"/>
      <c r="D8" s="1"/>
      <c r="E8" s="1"/>
      <c r="F8" s="38" t="s">
        <v>101</v>
      </c>
      <c r="G8" s="34">
        <v>7.0000000000000007E-2</v>
      </c>
      <c r="H8" s="19">
        <v>7</v>
      </c>
      <c r="I8" s="258">
        <f>E92</f>
        <v>3068289</v>
      </c>
      <c r="J8" s="253" t="s">
        <v>12</v>
      </c>
      <c r="K8" s="249">
        <v>7</v>
      </c>
      <c r="L8" s="20">
        <v>3600</v>
      </c>
      <c r="M8" s="10">
        <f>IF(K8='ورود اطلاعات'!B14,L8,0)</f>
        <v>0</v>
      </c>
      <c r="N8" s="24">
        <f>IF(F3='ورود اطلاعات'!B6,0,0)</f>
        <v>0</v>
      </c>
      <c r="O8" s="9">
        <f>IF(F7='ورود اطلاعات'!B7,0,0)</f>
        <v>0</v>
      </c>
      <c r="P8" s="10">
        <f t="shared" si="0"/>
        <v>0</v>
      </c>
      <c r="Q8" s="218">
        <f>IF(F3='ورود اطلاعات'!B6,1,0)</f>
        <v>1</v>
      </c>
      <c r="R8" s="215">
        <f>IF(F7='ورود اطلاعات'!B7,1,0)</f>
        <v>0</v>
      </c>
      <c r="S8" s="58">
        <f t="shared" si="1"/>
        <v>0</v>
      </c>
      <c r="T8" s="1"/>
      <c r="U8" s="1"/>
      <c r="V8" s="1"/>
      <c r="W8" s="1"/>
      <c r="X8" s="1"/>
      <c r="Y8" s="1"/>
      <c r="Z8" s="1"/>
      <c r="AA8" s="1"/>
      <c r="AB8" s="1"/>
      <c r="AC8" s="1"/>
      <c r="AD8" s="1"/>
      <c r="AE8" s="1"/>
      <c r="AF8" s="1"/>
      <c r="AG8" s="1"/>
      <c r="AH8" s="1"/>
      <c r="AI8" s="1"/>
      <c r="AJ8" s="1"/>
      <c r="AK8" s="5"/>
    </row>
    <row r="9" spans="1:37" ht="23.25" thickBot="1" x14ac:dyDescent="0.6">
      <c r="A9" s="98" t="s">
        <v>196</v>
      </c>
      <c r="B9" s="194">
        <f>150*B5</f>
        <v>269550</v>
      </c>
      <c r="C9" s="193" t="s">
        <v>252</v>
      </c>
      <c r="D9" s="90">
        <f>IF(F1='ورود اطلاعات'!D19,1,0)</f>
        <v>0</v>
      </c>
      <c r="E9" s="90">
        <f>IF(F2='ورود اطلاعات'!D19,1,0)</f>
        <v>1</v>
      </c>
      <c r="F9" s="5"/>
      <c r="G9" s="18">
        <v>0.08</v>
      </c>
      <c r="H9" s="19">
        <v>8</v>
      </c>
      <c r="I9" s="258">
        <f>'ورود اطلاعات'!D17*SUM(محاسبات!I5:I6)</f>
        <v>0</v>
      </c>
      <c r="J9" s="253" t="s">
        <v>13</v>
      </c>
      <c r="K9" s="249">
        <v>8</v>
      </c>
      <c r="L9" s="20">
        <v>3800</v>
      </c>
      <c r="M9" s="10">
        <f>IF(K9='ورود اطلاعات'!B14,L9,0)</f>
        <v>0</v>
      </c>
      <c r="N9" s="39">
        <f>IF(F3='ورود اطلاعات'!B6,0,0)</f>
        <v>0</v>
      </c>
      <c r="O9" s="40">
        <f>IF(F8='ورود اطلاعات'!B7,0,0)</f>
        <v>0</v>
      </c>
      <c r="P9" s="41">
        <f t="shared" si="0"/>
        <v>0</v>
      </c>
      <c r="Q9" s="39">
        <f>IF(F3='ورود اطلاعات'!B6,0,0)</f>
        <v>0</v>
      </c>
      <c r="R9" s="40">
        <f>IF(F8='ورود اطلاعات'!B7,0,0)</f>
        <v>0</v>
      </c>
      <c r="S9" s="248">
        <f t="shared" si="1"/>
        <v>0</v>
      </c>
      <c r="T9" s="1"/>
      <c r="U9" s="1"/>
      <c r="V9" s="1"/>
      <c r="W9" s="1"/>
      <c r="X9" s="1"/>
      <c r="Y9" s="1"/>
      <c r="Z9" s="1"/>
      <c r="AA9" s="1"/>
      <c r="AB9" s="1"/>
      <c r="AC9" s="1"/>
      <c r="AD9" s="1"/>
      <c r="AE9" s="1"/>
      <c r="AF9" s="1"/>
      <c r="AG9" s="1"/>
      <c r="AH9" s="1"/>
      <c r="AI9" s="1"/>
      <c r="AJ9" s="1"/>
      <c r="AK9" s="5"/>
    </row>
    <row r="10" spans="1:37" ht="23.25" thickBot="1" x14ac:dyDescent="0.6">
      <c r="A10" s="28" t="s">
        <v>52</v>
      </c>
      <c r="B10" s="194">
        <v>445000</v>
      </c>
      <c r="C10" s="193" t="s">
        <v>253</v>
      </c>
      <c r="D10" s="90">
        <f>IF('ورود اطلاعات'!B23&gt;50000000,1,0)</f>
        <v>0</v>
      </c>
      <c r="E10" s="90">
        <f>IF('ورود اطلاعات'!B23&gt;50000000,1,0)</f>
        <v>0</v>
      </c>
      <c r="F10" s="5"/>
      <c r="G10" s="18">
        <v>0.09</v>
      </c>
      <c r="H10" s="19">
        <v>9</v>
      </c>
      <c r="I10" s="258">
        <f>'ورود اطلاعات'!D18*SUM(محاسبات!I5:I6)</f>
        <v>0</v>
      </c>
      <c r="J10" s="253" t="s">
        <v>14</v>
      </c>
      <c r="K10" s="249">
        <v>9</v>
      </c>
      <c r="L10" s="20">
        <v>4000</v>
      </c>
      <c r="M10" s="10">
        <f>IF(K10='ورود اطلاعات'!B14,L10,0)</f>
        <v>4000</v>
      </c>
      <c r="N10" s="548" t="s">
        <v>194</v>
      </c>
      <c r="O10" s="549"/>
      <c r="P10" s="44">
        <f>SUM(P2:P9)</f>
        <v>1</v>
      </c>
      <c r="Q10" s="548" t="s">
        <v>84</v>
      </c>
      <c r="R10" s="549"/>
      <c r="S10" s="44">
        <f>SUM(S2:S9)</f>
        <v>1</v>
      </c>
      <c r="T10" s="1"/>
      <c r="U10" s="1"/>
      <c r="V10" s="1"/>
      <c r="W10" s="1"/>
      <c r="X10" s="1"/>
      <c r="Y10" s="1"/>
      <c r="Z10" s="1"/>
      <c r="AA10" s="1"/>
      <c r="AB10" s="1"/>
      <c r="AC10" s="1"/>
      <c r="AD10" s="1"/>
      <c r="AE10" s="1"/>
      <c r="AF10" s="1"/>
      <c r="AG10" s="1"/>
      <c r="AH10" s="1"/>
      <c r="AI10" s="1"/>
      <c r="AJ10" s="1"/>
      <c r="AK10" s="5"/>
    </row>
    <row r="11" spans="1:37" ht="23.25" thickBot="1" x14ac:dyDescent="0.6">
      <c r="A11" s="28" t="s">
        <v>53</v>
      </c>
      <c r="B11" s="194">
        <v>2000000</v>
      </c>
      <c r="C11" s="193"/>
      <c r="D11" s="90">
        <f>D9+D10</f>
        <v>0</v>
      </c>
      <c r="E11" s="90">
        <f>E9+E10</f>
        <v>1</v>
      </c>
      <c r="F11" s="5"/>
      <c r="G11" s="18">
        <v>0.1</v>
      </c>
      <c r="H11" s="19">
        <v>10</v>
      </c>
      <c r="I11" s="258"/>
      <c r="J11" s="253" t="s">
        <v>15</v>
      </c>
      <c r="K11" s="249">
        <v>10</v>
      </c>
      <c r="L11" s="20">
        <v>4200</v>
      </c>
      <c r="M11" s="10">
        <f>IF(K11='ورود اطلاعات'!B14,L11,0)</f>
        <v>0</v>
      </c>
      <c r="N11" s="555" t="s">
        <v>184</v>
      </c>
      <c r="O11" s="556"/>
      <c r="P11" s="47">
        <f>P10*810</f>
        <v>810</v>
      </c>
      <c r="Q11" s="550" t="s">
        <v>105</v>
      </c>
      <c r="R11" s="551"/>
      <c r="S11" s="16">
        <f>'ورود اطلاعات'!B8</f>
        <v>4</v>
      </c>
      <c r="T11" s="1"/>
      <c r="U11" s="1"/>
      <c r="V11" s="1"/>
      <c r="W11" s="1"/>
      <c r="X11" s="1"/>
      <c r="Y11" s="1"/>
      <c r="Z11" s="1"/>
      <c r="AA11" s="1"/>
      <c r="AB11" s="1"/>
      <c r="AC11" s="1"/>
      <c r="AD11" s="1"/>
      <c r="AE11" s="1"/>
      <c r="AF11" s="1"/>
      <c r="AG11" s="1"/>
      <c r="AH11" s="1"/>
      <c r="AI11" s="1"/>
      <c r="AJ11" s="1"/>
      <c r="AK11" s="5"/>
    </row>
    <row r="12" spans="1:37" x14ac:dyDescent="0.55000000000000004">
      <c r="A12" s="28" t="s">
        <v>171</v>
      </c>
      <c r="B12" s="48">
        <v>1797</v>
      </c>
      <c r="C12" s="90">
        <f>D12+E12</f>
        <v>1797</v>
      </c>
      <c r="D12" s="90">
        <f>IF(D11&gt;0,B4,0)</f>
        <v>0</v>
      </c>
      <c r="E12" s="90">
        <f>IF(E11&gt;0,B12,0)</f>
        <v>1797</v>
      </c>
      <c r="F12" s="5"/>
      <c r="G12" s="18">
        <v>0.11</v>
      </c>
      <c r="H12" s="19">
        <v>11</v>
      </c>
      <c r="I12" s="257">
        <f>محاسبات!F127*B4</f>
        <v>0</v>
      </c>
      <c r="J12" s="252" t="s">
        <v>16</v>
      </c>
      <c r="K12" s="249">
        <v>11</v>
      </c>
      <c r="L12" s="20">
        <v>4400</v>
      </c>
      <c r="M12" s="9">
        <f>IF(K12='ورود اطلاعات'!B14,L12,0)</f>
        <v>0</v>
      </c>
      <c r="N12" s="5"/>
      <c r="O12" s="5"/>
      <c r="P12" s="5"/>
      <c r="Q12" s="552" t="s">
        <v>106</v>
      </c>
      <c r="R12" s="541"/>
      <c r="S12" s="25">
        <v>210</v>
      </c>
      <c r="T12" s="1"/>
      <c r="U12" s="1"/>
      <c r="V12" s="1"/>
      <c r="W12" s="1"/>
      <c r="X12" s="1"/>
      <c r="Y12" s="1"/>
      <c r="Z12" s="1"/>
      <c r="AA12" s="1"/>
      <c r="AB12" s="1"/>
      <c r="AC12" s="1"/>
      <c r="AD12" s="1"/>
      <c r="AE12" s="1"/>
      <c r="AF12" s="1"/>
      <c r="AG12" s="1"/>
      <c r="AH12" s="1"/>
      <c r="AI12" s="1"/>
      <c r="AJ12" s="1"/>
      <c r="AK12" s="5"/>
    </row>
    <row r="13" spans="1:37" ht="23.25" thickBot="1" x14ac:dyDescent="0.6">
      <c r="A13" s="49"/>
      <c r="B13" s="37"/>
      <c r="C13" s="292"/>
      <c r="D13" s="1"/>
      <c r="E13" s="1"/>
      <c r="F13" s="5"/>
      <c r="G13" s="18">
        <v>0.12</v>
      </c>
      <c r="H13" s="19">
        <v>12</v>
      </c>
      <c r="I13" s="257">
        <f>IF(D1='ورود اطلاعات'!D15,0,B6*25%)</f>
        <v>0</v>
      </c>
      <c r="J13" s="252" t="s">
        <v>17</v>
      </c>
      <c r="K13" s="249">
        <v>12</v>
      </c>
      <c r="L13" s="20">
        <v>4600</v>
      </c>
      <c r="M13" s="9">
        <f>IF(K13='ورود اطلاعات'!B14,L13,0)</f>
        <v>0</v>
      </c>
      <c r="N13" s="5"/>
      <c r="O13" s="5"/>
      <c r="P13" s="5"/>
      <c r="Q13" s="553" t="s">
        <v>107</v>
      </c>
      <c r="R13" s="554"/>
      <c r="S13" s="209">
        <f>S10*S11*S12</f>
        <v>840</v>
      </c>
      <c r="T13" s="1"/>
      <c r="U13" s="1"/>
      <c r="V13" s="1"/>
      <c r="W13" s="1"/>
      <c r="X13" s="1"/>
      <c r="Y13" s="1"/>
      <c r="Z13" s="1"/>
      <c r="AA13" s="1"/>
      <c r="AB13" s="1"/>
      <c r="AC13" s="1"/>
      <c r="AD13" s="1"/>
      <c r="AE13" s="1"/>
      <c r="AF13" s="1"/>
      <c r="AG13" s="1"/>
      <c r="AH13" s="1"/>
      <c r="AI13" s="1"/>
      <c r="AJ13" s="1"/>
      <c r="AK13" s="5"/>
    </row>
    <row r="14" spans="1:37" ht="23.25" thickBot="1" x14ac:dyDescent="0.6">
      <c r="A14" s="91" t="s">
        <v>301</v>
      </c>
      <c r="B14" s="293">
        <f>IF(F2='ورود اطلاعات'!D19,-22%*('ورود اطلاعات'!B23/1000000)+11,0)</f>
        <v>6.876524732</v>
      </c>
      <c r="C14" s="37"/>
      <c r="D14" s="1"/>
      <c r="E14" s="1"/>
      <c r="F14" s="5"/>
      <c r="G14" s="18">
        <v>0.13</v>
      </c>
      <c r="H14" s="19">
        <v>13</v>
      </c>
      <c r="I14" s="258">
        <f>F17*B4</f>
        <v>0</v>
      </c>
      <c r="J14" s="253" t="s">
        <v>18</v>
      </c>
      <c r="K14" s="249">
        <v>13</v>
      </c>
      <c r="L14" s="20">
        <v>4800</v>
      </c>
      <c r="M14" s="9">
        <f>IF(K14='ورود اطلاعات'!B14,L14,0)</f>
        <v>0</v>
      </c>
      <c r="N14" s="5"/>
      <c r="O14" s="5"/>
      <c r="P14" s="5"/>
      <c r="Q14" s="5"/>
      <c r="R14" s="5"/>
      <c r="S14" s="5"/>
      <c r="T14" s="1"/>
      <c r="U14" s="1"/>
      <c r="V14" s="1"/>
      <c r="W14" s="1"/>
      <c r="X14" s="1"/>
      <c r="Y14" s="1"/>
      <c r="Z14" s="1"/>
      <c r="AA14" s="1"/>
      <c r="AB14" s="1"/>
      <c r="AC14" s="1"/>
      <c r="AD14" s="1"/>
      <c r="AE14" s="1"/>
      <c r="AF14" s="1"/>
      <c r="AG14" s="1"/>
      <c r="AH14" s="1"/>
      <c r="AI14" s="1"/>
      <c r="AJ14" s="1"/>
      <c r="AK14" s="5"/>
    </row>
    <row r="15" spans="1:37" ht="22.5" customHeight="1" x14ac:dyDescent="0.55000000000000004">
      <c r="A15" s="94"/>
      <c r="B15" s="294">
        <f>-22%*('ورود اطلاعات'!B23/1000000)+11</f>
        <v>6.876524732</v>
      </c>
      <c r="C15" s="37"/>
      <c r="D15" s="14" t="s">
        <v>98</v>
      </c>
      <c r="E15" s="15">
        <v>130</v>
      </c>
      <c r="F15" s="16">
        <f>E15*'ورود اطلاعات'!D12</f>
        <v>0</v>
      </c>
      <c r="G15" s="34">
        <v>0.14000000000000001</v>
      </c>
      <c r="H15" s="19">
        <v>14</v>
      </c>
      <c r="I15" s="254">
        <f>D88*B4</f>
        <v>0</v>
      </c>
      <c r="J15" s="252" t="s">
        <v>262</v>
      </c>
      <c r="K15" s="249">
        <v>14</v>
      </c>
      <c r="L15" s="20">
        <v>5000</v>
      </c>
      <c r="M15" s="9">
        <f>IF(K15='ورود اطلاعات'!B14,L15,0)</f>
        <v>0</v>
      </c>
      <c r="N15" s="5"/>
      <c r="O15" s="5"/>
      <c r="P15" s="5"/>
      <c r="Q15" s="5"/>
      <c r="R15" s="5"/>
      <c r="S15" s="5"/>
      <c r="T15" s="1"/>
      <c r="U15" s="1"/>
      <c r="V15" s="1"/>
      <c r="W15" s="1"/>
      <c r="X15" s="1"/>
      <c r="Y15" s="1"/>
      <c r="Z15" s="1"/>
      <c r="AA15" s="1"/>
      <c r="AB15" s="1"/>
      <c r="AC15" s="1"/>
      <c r="AD15" s="1"/>
      <c r="AE15" s="1"/>
      <c r="AF15" s="1"/>
      <c r="AG15" s="1"/>
      <c r="AH15" s="1"/>
      <c r="AI15" s="1"/>
      <c r="AJ15" s="1"/>
      <c r="AK15" s="5"/>
    </row>
    <row r="16" spans="1:37" ht="23.25" thickBot="1" x14ac:dyDescent="0.6">
      <c r="A16" s="94"/>
      <c r="B16" s="294">
        <f>(B14+B15)/2</f>
        <v>6.876524732</v>
      </c>
      <c r="C16" s="37"/>
      <c r="D16" s="24" t="s">
        <v>99</v>
      </c>
      <c r="E16" s="9">
        <f>'ورود اطلاعات'!D13/12</f>
        <v>0</v>
      </c>
      <c r="F16" s="54">
        <f>E16*E15</f>
        <v>0</v>
      </c>
      <c r="G16" s="34">
        <v>0.15</v>
      </c>
      <c r="H16" s="19">
        <v>15</v>
      </c>
      <c r="I16" s="257">
        <f>'حکم کارگزینی'!D17*محاسبات!B4</f>
        <v>203400</v>
      </c>
      <c r="J16" s="252" t="s">
        <v>19</v>
      </c>
      <c r="K16" s="249">
        <v>15</v>
      </c>
      <c r="L16" s="20">
        <v>5200</v>
      </c>
      <c r="M16" s="9">
        <f>IF(K16='ورود اطلاعات'!B14,L16,0)</f>
        <v>0</v>
      </c>
      <c r="N16" s="5"/>
      <c r="O16" s="5"/>
      <c r="P16" s="5"/>
      <c r="Q16" s="5"/>
      <c r="R16" s="5"/>
      <c r="S16" s="5"/>
      <c r="T16" s="1"/>
      <c r="U16" s="1"/>
      <c r="V16" s="1"/>
      <c r="W16" s="1"/>
      <c r="X16" s="1"/>
      <c r="Y16" s="1"/>
      <c r="Z16" s="1"/>
      <c r="AA16" s="1"/>
      <c r="AB16" s="1"/>
      <c r="AC16" s="1"/>
      <c r="AD16" s="5"/>
      <c r="AE16" s="5"/>
      <c r="AF16" s="5"/>
      <c r="AG16" s="5"/>
      <c r="AH16" s="5"/>
      <c r="AI16" s="5"/>
      <c r="AJ16" s="5"/>
      <c r="AK16" s="5"/>
    </row>
    <row r="17" spans="1:37" ht="23.25" thickBot="1" x14ac:dyDescent="0.6">
      <c r="A17" s="94" t="s">
        <v>302</v>
      </c>
      <c r="B17" s="52">
        <f>IF(B16&lt;0,0,-22%*('ورود اطلاعات'!B23/1000000)+11)</f>
        <v>6.876524732</v>
      </c>
      <c r="C17" s="37"/>
      <c r="D17" s="559" t="s">
        <v>100</v>
      </c>
      <c r="E17" s="560"/>
      <c r="F17" s="55">
        <f>F15+F16</f>
        <v>0</v>
      </c>
      <c r="G17" s="34">
        <v>0.16</v>
      </c>
      <c r="H17" s="19">
        <v>16</v>
      </c>
      <c r="I17" s="257">
        <f>'حکم کارگزینی'!D18*محاسبات!B4</f>
        <v>1372950</v>
      </c>
      <c r="J17" s="252" t="s">
        <v>64</v>
      </c>
      <c r="K17" s="250">
        <v>16</v>
      </c>
      <c r="L17" s="195">
        <v>5400</v>
      </c>
      <c r="M17" s="40">
        <f>IF(K17='ورود اطلاعات'!B14,L17,0)</f>
        <v>0</v>
      </c>
      <c r="N17" s="5"/>
      <c r="O17" s="5"/>
      <c r="P17" s="5"/>
      <c r="Q17" s="5"/>
      <c r="R17" s="5"/>
      <c r="S17" s="5"/>
      <c r="T17" s="1"/>
      <c r="U17" s="1"/>
      <c r="V17" s="1"/>
      <c r="W17" s="1"/>
      <c r="X17" s="1"/>
      <c r="Y17" s="1"/>
      <c r="Z17" s="1"/>
      <c r="AA17" s="1"/>
      <c r="AB17" s="1"/>
      <c r="AC17" s="1"/>
      <c r="AD17" s="5"/>
      <c r="AE17" s="5"/>
      <c r="AF17" s="5"/>
      <c r="AG17" s="5"/>
      <c r="AH17" s="91">
        <v>0</v>
      </c>
      <c r="AI17" s="92">
        <v>0</v>
      </c>
      <c r="AJ17" s="93">
        <f>IF(AH17='ورود اطلاعات'!D20,AI17,0)</f>
        <v>0</v>
      </c>
      <c r="AK17" s="5"/>
    </row>
    <row r="18" spans="1:37" ht="22.5" customHeight="1" x14ac:dyDescent="0.55000000000000004">
      <c r="A18" s="21" t="s">
        <v>90</v>
      </c>
      <c r="B18" s="22" t="s">
        <v>1</v>
      </c>
      <c r="C18" s="16"/>
      <c r="D18" s="5"/>
      <c r="E18" s="57">
        <v>0</v>
      </c>
      <c r="F18" s="5"/>
      <c r="G18" s="18">
        <v>0.17</v>
      </c>
      <c r="H18" s="19">
        <v>17</v>
      </c>
      <c r="I18" s="257">
        <f>'حکم کارگزینی'!D19*محاسبات!B4</f>
        <v>1423800</v>
      </c>
      <c r="J18" s="252" t="s">
        <v>20</v>
      </c>
      <c r="K18" s="217" t="s">
        <v>69</v>
      </c>
      <c r="L18" s="15">
        <v>0</v>
      </c>
      <c r="M18" s="16">
        <f>IF(K18='ورود اطلاعات'!B15,L18,0)</f>
        <v>0</v>
      </c>
      <c r="N18" s="1"/>
      <c r="O18" s="561" t="s">
        <v>255</v>
      </c>
      <c r="P18" s="562"/>
      <c r="Q18" s="562"/>
      <c r="R18" s="563"/>
      <c r="S18" s="5"/>
      <c r="T18" s="5"/>
      <c r="U18" s="5"/>
      <c r="V18" s="5"/>
      <c r="W18" s="5"/>
      <c r="X18" s="5"/>
      <c r="Y18" s="5"/>
      <c r="Z18" s="5"/>
      <c r="AA18" s="5"/>
      <c r="AB18" s="5"/>
      <c r="AC18" s="5"/>
      <c r="AD18" s="5"/>
      <c r="AE18" s="5"/>
      <c r="AF18" s="5"/>
      <c r="AG18" s="5"/>
      <c r="AH18" s="94" t="s">
        <v>193</v>
      </c>
      <c r="AI18" s="90">
        <v>18000</v>
      </c>
      <c r="AJ18" s="95">
        <f>IF(AH18='ورود اطلاعات'!D20,AI18,0)</f>
        <v>0</v>
      </c>
      <c r="AK18" s="5"/>
    </row>
    <row r="19" spans="1:37" x14ac:dyDescent="0.55000000000000004">
      <c r="A19" s="24" t="s">
        <v>91</v>
      </c>
      <c r="B19" s="20">
        <v>700</v>
      </c>
      <c r="C19" s="58">
        <f>IF(A19='ورود اطلاعات'!D6,B19,0)</f>
        <v>0</v>
      </c>
      <c r="D19" s="53"/>
      <c r="E19" s="59">
        <v>0.2</v>
      </c>
      <c r="F19" s="5"/>
      <c r="G19" s="18">
        <v>0.18</v>
      </c>
      <c r="H19" s="19">
        <v>18</v>
      </c>
      <c r="I19" s="257">
        <f>IF(E18='ورود اطلاعات'!D16,0,'ورود اطلاعات'!D16*محاسبات!I2)</f>
        <v>0</v>
      </c>
      <c r="J19" s="252" t="s">
        <v>21</v>
      </c>
      <c r="K19" s="43" t="s">
        <v>70</v>
      </c>
      <c r="L19" s="20">
        <v>250</v>
      </c>
      <c r="M19" s="58">
        <f>IF(K19='ورود اطلاعات'!B15,L19,0)</f>
        <v>0</v>
      </c>
      <c r="N19" s="1"/>
      <c r="O19" s="94">
        <f>O23</f>
        <v>4400</v>
      </c>
      <c r="P19" s="20">
        <f>IF(K19='ورود اطلاعات'!B15,1,0)</f>
        <v>0</v>
      </c>
      <c r="Q19" s="208">
        <v>0.15</v>
      </c>
      <c r="R19" s="58">
        <f>Q19*P19*O19</f>
        <v>0</v>
      </c>
      <c r="S19" s="5"/>
      <c r="T19" s="5"/>
      <c r="U19" s="5"/>
      <c r="V19" s="5"/>
      <c r="W19" s="5"/>
      <c r="X19" s="5"/>
      <c r="Y19" s="5"/>
      <c r="Z19" s="5"/>
      <c r="AA19" s="5"/>
      <c r="AB19" s="5"/>
      <c r="AC19" s="5"/>
      <c r="AD19" s="5"/>
      <c r="AE19" s="5"/>
      <c r="AF19" s="5"/>
      <c r="AG19" s="5"/>
      <c r="AH19" s="89" t="s">
        <v>192</v>
      </c>
      <c r="AI19" s="88">
        <v>18000</v>
      </c>
      <c r="AJ19" s="58">
        <f>IF(AH19='ورود اطلاعات'!D20,AI19,0)</f>
        <v>0</v>
      </c>
      <c r="AK19" s="5"/>
    </row>
    <row r="20" spans="1:37" ht="23.25" thickBot="1" x14ac:dyDescent="0.6">
      <c r="A20" s="24" t="s">
        <v>92</v>
      </c>
      <c r="B20" s="20">
        <v>1500</v>
      </c>
      <c r="C20" s="58">
        <f>IF(A20='ورود اطلاعات'!D6,B20,0)</f>
        <v>1500</v>
      </c>
      <c r="D20" s="53"/>
      <c r="E20" s="59">
        <v>0.24</v>
      </c>
      <c r="F20" s="5"/>
      <c r="G20" s="18">
        <v>0.19</v>
      </c>
      <c r="H20" s="19">
        <v>19</v>
      </c>
      <c r="I20" s="259">
        <f>'ورود اطلاعات'!B20</f>
        <v>0</v>
      </c>
      <c r="J20" s="255" t="s">
        <v>22</v>
      </c>
      <c r="K20" s="43" t="s">
        <v>66</v>
      </c>
      <c r="L20" s="20">
        <v>600</v>
      </c>
      <c r="M20" s="58">
        <f>IF(K20='ورود اطلاعات'!B15,L20,0)</f>
        <v>0</v>
      </c>
      <c r="N20" s="1"/>
      <c r="O20" s="94">
        <f>O23</f>
        <v>4400</v>
      </c>
      <c r="P20" s="20">
        <f>IF(K20='ورود اطلاعات'!B15,1,0)</f>
        <v>0</v>
      </c>
      <c r="Q20" s="208">
        <v>0.25</v>
      </c>
      <c r="R20" s="58">
        <f t="shared" ref="R20:R22" si="2">Q20*P20*O20</f>
        <v>0</v>
      </c>
      <c r="S20" s="5"/>
      <c r="T20" s="5"/>
      <c r="U20" s="5"/>
      <c r="V20" s="5"/>
      <c r="W20" s="5"/>
      <c r="X20" s="5"/>
      <c r="Y20" s="5"/>
      <c r="Z20" s="5"/>
      <c r="AA20" s="5"/>
      <c r="AB20" s="5"/>
      <c r="AC20" s="5"/>
      <c r="AD20" s="1"/>
      <c r="AE20" s="1"/>
      <c r="AF20" s="1"/>
      <c r="AG20" s="5"/>
      <c r="AH20" s="96" t="s">
        <v>191</v>
      </c>
      <c r="AI20" s="88">
        <v>18000</v>
      </c>
      <c r="AJ20" s="58">
        <f>IF(AH20='ورود اطلاعات'!D20,AI20,0)</f>
        <v>0</v>
      </c>
      <c r="AK20" s="5"/>
    </row>
    <row r="21" spans="1:37" ht="23.25" thickBot="1" x14ac:dyDescent="0.6">
      <c r="A21" s="24" t="s">
        <v>93</v>
      </c>
      <c r="B21" s="20">
        <v>2000</v>
      </c>
      <c r="C21" s="58">
        <f>IF(A21='ورود اطلاعات'!D6,B21,0)</f>
        <v>0</v>
      </c>
      <c r="D21" s="53"/>
      <c r="E21" s="59">
        <v>0.25</v>
      </c>
      <c r="F21" s="5"/>
      <c r="G21" s="18">
        <v>0.2</v>
      </c>
      <c r="H21" s="19">
        <v>20</v>
      </c>
      <c r="I21" s="260">
        <f>SUM(I5:I20)</f>
        <v>20475939</v>
      </c>
      <c r="J21" s="224" t="s">
        <v>9</v>
      </c>
      <c r="K21" s="43" t="s">
        <v>67</v>
      </c>
      <c r="L21" s="20">
        <v>1050</v>
      </c>
      <c r="M21" s="58">
        <f>IF(K21='ورود اطلاعات'!B15,L21,0)</f>
        <v>0</v>
      </c>
      <c r="N21" s="1"/>
      <c r="O21" s="94">
        <f>O23</f>
        <v>4400</v>
      </c>
      <c r="P21" s="20">
        <f>IF(K21='ورود اطلاعات'!B15,1,0)</f>
        <v>0</v>
      </c>
      <c r="Q21" s="208">
        <v>0.35</v>
      </c>
      <c r="R21" s="58">
        <f t="shared" si="2"/>
        <v>0</v>
      </c>
      <c r="S21" s="5"/>
      <c r="T21" s="5"/>
      <c r="U21" s="5"/>
      <c r="V21" s="5"/>
      <c r="W21" s="5"/>
      <c r="X21" s="5"/>
      <c r="Y21" s="5"/>
      <c r="Z21" s="5"/>
      <c r="AA21" s="5"/>
      <c r="AB21" s="5"/>
      <c r="AC21" s="5"/>
      <c r="AD21" s="1"/>
      <c r="AE21" s="1"/>
      <c r="AF21" s="1"/>
      <c r="AG21" s="5"/>
      <c r="AH21" s="89" t="s">
        <v>175</v>
      </c>
      <c r="AI21" s="88">
        <v>17000</v>
      </c>
      <c r="AJ21" s="58">
        <f>IF(AH21='ورود اطلاعات'!D20,AI21,0)</f>
        <v>0</v>
      </c>
      <c r="AK21" s="5"/>
    </row>
    <row r="22" spans="1:37" ht="23.25" thickBot="1" x14ac:dyDescent="0.6">
      <c r="A22" s="557" t="s">
        <v>94</v>
      </c>
      <c r="B22" s="558"/>
      <c r="C22" s="60">
        <f>SUM(C19:C21)</f>
        <v>1500</v>
      </c>
      <c r="D22" s="53"/>
      <c r="E22" s="59">
        <v>0.26</v>
      </c>
      <c r="F22" s="5"/>
      <c r="G22" s="18">
        <v>0.21</v>
      </c>
      <c r="H22" s="220">
        <v>21</v>
      </c>
      <c r="I22" s="261"/>
      <c r="J22" s="221"/>
      <c r="K22" s="219" t="s">
        <v>71</v>
      </c>
      <c r="L22" s="196">
        <v>1600</v>
      </c>
      <c r="M22" s="52">
        <f>IF(K22='ورود اطلاعات'!B15,L22,0)</f>
        <v>0</v>
      </c>
      <c r="N22" s="1"/>
      <c r="O22" s="94">
        <f>O23</f>
        <v>4400</v>
      </c>
      <c r="P22" s="20">
        <f>IF(K22='ورود اطلاعات'!B15,1,0)</f>
        <v>0</v>
      </c>
      <c r="Q22" s="208">
        <v>0.5</v>
      </c>
      <c r="R22" s="58">
        <f t="shared" si="2"/>
        <v>0</v>
      </c>
      <c r="S22" s="5"/>
      <c r="T22" s="5"/>
      <c r="U22" s="5"/>
      <c r="V22" s="5"/>
      <c r="W22" s="5"/>
      <c r="X22" s="5"/>
      <c r="Y22" s="5"/>
      <c r="Z22" s="5"/>
      <c r="AA22" s="5"/>
      <c r="AB22" s="5"/>
      <c r="AC22" s="5"/>
      <c r="AD22" s="1"/>
      <c r="AE22" s="1"/>
      <c r="AF22" s="1"/>
      <c r="AG22" s="5"/>
      <c r="AH22" s="89" t="s">
        <v>176</v>
      </c>
      <c r="AI22" s="88">
        <v>17000</v>
      </c>
      <c r="AJ22" s="58">
        <f>IF(AH22='ورود اطلاعات'!D20,AI22,0)</f>
        <v>0</v>
      </c>
      <c r="AK22" s="5"/>
    </row>
    <row r="23" spans="1:37" ht="23.25" thickBot="1" x14ac:dyDescent="0.6">
      <c r="A23" s="37"/>
      <c r="B23" s="53"/>
      <c r="C23" s="37"/>
      <c r="D23" s="53"/>
      <c r="E23" s="61">
        <v>0.28000000000000003</v>
      </c>
      <c r="F23" s="5"/>
      <c r="G23" s="18">
        <v>0.22</v>
      </c>
      <c r="H23" s="220">
        <v>22</v>
      </c>
      <c r="I23" s="222"/>
      <c r="J23" s="223"/>
      <c r="K23" s="566" t="s">
        <v>266</v>
      </c>
      <c r="L23" s="567"/>
      <c r="M23" s="210">
        <f>SUM(M2:M22,Q24)</f>
        <v>4000</v>
      </c>
      <c r="N23" s="1">
        <f>M23*10%</f>
        <v>400</v>
      </c>
      <c r="O23" s="192">
        <f>N23+M23</f>
        <v>4400</v>
      </c>
      <c r="P23" s="564" t="s">
        <v>265</v>
      </c>
      <c r="Q23" s="565"/>
      <c r="R23" s="209">
        <f>SUM(R19:R22,O23)</f>
        <v>4400</v>
      </c>
      <c r="S23" s="5"/>
      <c r="T23" s="5"/>
      <c r="U23" s="5"/>
      <c r="V23" s="5"/>
      <c r="W23" s="5"/>
      <c r="X23" s="5"/>
      <c r="Y23" s="5"/>
      <c r="Z23" s="5"/>
      <c r="AA23" s="5"/>
      <c r="AB23" s="5"/>
      <c r="AC23" s="5"/>
      <c r="AD23" s="1"/>
      <c r="AE23" s="1"/>
      <c r="AF23" s="1"/>
      <c r="AG23" s="5"/>
      <c r="AH23" s="89" t="s">
        <v>177</v>
      </c>
      <c r="AI23" s="88">
        <v>17000</v>
      </c>
      <c r="AJ23" s="58">
        <f>IF(AH23='ورود اطلاعات'!D20,AI23,0)</f>
        <v>0</v>
      </c>
      <c r="AK23" s="5"/>
    </row>
    <row r="24" spans="1:37" ht="23.25" thickBot="1" x14ac:dyDescent="0.6">
      <c r="A24" s="37"/>
      <c r="B24" s="53"/>
      <c r="C24" s="37"/>
      <c r="D24" s="62" t="s">
        <v>21</v>
      </c>
      <c r="E24" s="63">
        <f>IF(E18='ورود اطلاعات'!D16,0,'ورود اطلاعات'!D16*'حکم کارگزینی'!E3)</f>
        <v>0</v>
      </c>
      <c r="F24" s="5"/>
      <c r="G24" s="18">
        <v>0.23</v>
      </c>
      <c r="H24" s="19">
        <v>23</v>
      </c>
      <c r="I24" s="64"/>
      <c r="J24" s="65"/>
      <c r="K24" s="546" t="s">
        <v>7</v>
      </c>
      <c r="L24" s="547"/>
      <c r="M24" s="211">
        <f>IF('ورود اطلاعات'!D5&gt;5000,5000,'ورود اطلاعات'!D5)</f>
        <v>0</v>
      </c>
      <c r="N24" s="1"/>
      <c r="O24" s="126"/>
      <c r="P24" s="49"/>
      <c r="Q24" s="197"/>
      <c r="R24" s="5"/>
      <c r="S24" s="5"/>
      <c r="T24" s="5"/>
      <c r="U24" s="5"/>
      <c r="V24" s="5"/>
      <c r="W24" s="5"/>
      <c r="X24" s="5"/>
      <c r="Y24" s="5"/>
      <c r="Z24" s="5"/>
      <c r="AA24" s="5"/>
      <c r="AB24" s="5"/>
      <c r="AC24" s="5"/>
      <c r="AD24" s="1"/>
      <c r="AE24" s="1"/>
      <c r="AF24" s="1"/>
      <c r="AG24" s="5"/>
      <c r="AH24" s="89" t="s">
        <v>178</v>
      </c>
      <c r="AI24" s="88">
        <v>16000</v>
      </c>
      <c r="AJ24" s="58">
        <f>IF(AH24='ورود اطلاعات'!D20,AI24,0)</f>
        <v>0</v>
      </c>
      <c r="AK24" s="5"/>
    </row>
    <row r="25" spans="1:37" ht="23.25" thickBot="1" x14ac:dyDescent="0.6">
      <c r="A25" s="163" t="s">
        <v>242</v>
      </c>
      <c r="B25" s="174">
        <f>'فیش حقوقی'!B15-'فیش حقوقی'!E15</f>
        <v>33322249.996030629</v>
      </c>
      <c r="C25" s="37"/>
      <c r="D25" s="53"/>
      <c r="E25" s="37"/>
      <c r="F25" s="5"/>
      <c r="G25" s="18">
        <v>0.24</v>
      </c>
      <c r="H25" s="19">
        <v>24</v>
      </c>
      <c r="I25" s="66"/>
      <c r="J25" s="65"/>
      <c r="K25" s="544" t="s">
        <v>185</v>
      </c>
      <c r="L25" s="545"/>
      <c r="M25" s="67">
        <f>IF(F2='ورود اطلاعات'!D19,R25,R26)</f>
        <v>4000</v>
      </c>
      <c r="N25" s="5"/>
      <c r="O25" s="550" t="s">
        <v>267</v>
      </c>
      <c r="P25" s="551"/>
      <c r="Q25" s="551"/>
      <c r="R25" s="16">
        <f>IF(F1='ورود اطلاعات'!B5,R23,M23)</f>
        <v>4000</v>
      </c>
      <c r="S25" s="5"/>
      <c r="T25" s="5"/>
      <c r="U25" s="5"/>
      <c r="V25" s="5"/>
      <c r="W25" s="5"/>
      <c r="X25" s="5"/>
      <c r="Y25" s="5"/>
      <c r="Z25" s="5"/>
      <c r="AA25" s="5"/>
      <c r="AB25" s="5"/>
      <c r="AC25" s="5"/>
      <c r="AD25" s="1"/>
      <c r="AE25" s="1"/>
      <c r="AF25" s="1"/>
      <c r="AG25" s="5"/>
      <c r="AH25" s="89" t="s">
        <v>179</v>
      </c>
      <c r="AI25" s="88">
        <v>16000</v>
      </c>
      <c r="AJ25" s="58">
        <f>IF(AH25='ورود اطلاعات'!D20,AI25,0)</f>
        <v>0</v>
      </c>
      <c r="AK25" s="5"/>
    </row>
    <row r="26" spans="1:37" ht="23.25" thickBot="1" x14ac:dyDescent="0.6">
      <c r="A26" s="172" t="s">
        <v>186</v>
      </c>
      <c r="B26" s="173">
        <f>IF('ورود اطلاعات'!B23&lt;50000000,'ورود اطلاعات'!B23*'ورود اطلاعات'!B22%,0)</f>
        <v>1288871.802826924</v>
      </c>
      <c r="C26" s="37"/>
      <c r="D26" s="189" t="s">
        <v>56</v>
      </c>
      <c r="E26" s="190">
        <f>'ورود اطلاعات'!F8</f>
        <v>620000</v>
      </c>
      <c r="F26" s="5"/>
      <c r="G26" s="68">
        <v>0.25</v>
      </c>
      <c r="H26" s="19">
        <v>25</v>
      </c>
      <c r="I26" s="69"/>
      <c r="J26" s="65"/>
      <c r="K26" s="5"/>
      <c r="L26" s="5"/>
      <c r="M26" s="5"/>
      <c r="N26" s="5"/>
      <c r="O26" s="568" t="s">
        <v>268</v>
      </c>
      <c r="P26" s="569"/>
      <c r="Q26" s="569"/>
      <c r="R26" s="52">
        <f>IF(F1='ورود اطلاعات'!D19,AJ29,R25)</f>
        <v>4000</v>
      </c>
      <c r="S26" s="5"/>
      <c r="T26" s="5"/>
      <c r="U26" s="5"/>
      <c r="V26" s="5"/>
      <c r="W26" s="5"/>
      <c r="X26" s="5"/>
      <c r="Y26" s="5"/>
      <c r="Z26" s="5"/>
      <c r="AA26" s="5"/>
      <c r="AB26" s="5"/>
      <c r="AC26" s="5"/>
      <c r="AD26" s="1"/>
      <c r="AE26" s="1"/>
      <c r="AF26" s="1"/>
      <c r="AG26" s="5"/>
      <c r="AH26" s="89" t="s">
        <v>180</v>
      </c>
      <c r="AI26" s="88">
        <v>15000</v>
      </c>
      <c r="AJ26" s="58">
        <f>IF(AH26='ورود اطلاعات'!D20,AI26,0)</f>
        <v>0</v>
      </c>
      <c r="AK26" s="5"/>
    </row>
    <row r="27" spans="1:37" x14ac:dyDescent="0.55000000000000004">
      <c r="A27" s="37"/>
      <c r="B27" s="53"/>
      <c r="C27" s="37"/>
      <c r="D27" s="36" t="s">
        <v>57</v>
      </c>
      <c r="E27" s="42">
        <f>'ورود اطلاعات'!F9</f>
        <v>320000</v>
      </c>
      <c r="F27" s="5"/>
      <c r="G27" s="5"/>
      <c r="H27" s="19">
        <v>26</v>
      </c>
      <c r="I27" s="69"/>
      <c r="J27" s="3"/>
      <c r="K27" s="5"/>
      <c r="L27" s="5"/>
      <c r="M27" s="5"/>
      <c r="N27" s="5"/>
      <c r="O27" s="5"/>
      <c r="P27" s="5"/>
      <c r="Q27" s="5"/>
      <c r="R27" s="5"/>
      <c r="S27" s="5"/>
      <c r="T27" s="5"/>
      <c r="U27" s="5"/>
      <c r="V27" s="5"/>
      <c r="W27" s="5"/>
      <c r="X27" s="5"/>
      <c r="Y27" s="5"/>
      <c r="Z27" s="5"/>
      <c r="AA27" s="5"/>
      <c r="AB27" s="5"/>
      <c r="AC27" s="5"/>
      <c r="AD27" s="1"/>
      <c r="AE27" s="1"/>
      <c r="AF27" s="1"/>
      <c r="AG27" s="5"/>
      <c r="AH27" s="89" t="s">
        <v>181</v>
      </c>
      <c r="AI27" s="88">
        <v>15000</v>
      </c>
      <c r="AJ27" s="58">
        <f>IF(AH27='ورود اطلاعات'!D20,AI27,0)</f>
        <v>0</v>
      </c>
      <c r="AK27" s="5"/>
    </row>
    <row r="28" spans="1:37" ht="23.25" thickBot="1" x14ac:dyDescent="0.6">
      <c r="A28" s="1"/>
      <c r="B28" s="1"/>
      <c r="C28" s="1"/>
      <c r="D28" s="36"/>
      <c r="E28" s="42">
        <v>1</v>
      </c>
      <c r="F28" s="1"/>
      <c r="G28" s="5"/>
      <c r="H28" s="19">
        <v>27</v>
      </c>
      <c r="I28" s="72"/>
      <c r="J28" s="3"/>
      <c r="K28" s="5"/>
      <c r="L28" s="5"/>
      <c r="M28" s="5"/>
      <c r="N28" s="5"/>
      <c r="O28" s="5"/>
      <c r="P28" s="5"/>
      <c r="Q28" s="5"/>
      <c r="R28" s="5"/>
      <c r="S28" s="5"/>
      <c r="T28" s="5"/>
      <c r="U28" s="5"/>
      <c r="V28" s="5"/>
      <c r="W28" s="5"/>
      <c r="X28" s="5"/>
      <c r="Y28" s="5"/>
      <c r="Z28" s="5"/>
      <c r="AA28" s="5"/>
      <c r="AB28" s="5"/>
      <c r="AC28" s="5"/>
      <c r="AD28" s="1"/>
      <c r="AE28" s="1"/>
      <c r="AF28" s="1"/>
      <c r="AG28" s="5"/>
      <c r="AH28" s="70" t="s">
        <v>182</v>
      </c>
      <c r="AI28" s="51">
        <v>14000</v>
      </c>
      <c r="AJ28" s="52">
        <f>IF(AH28='ورود اطلاعات'!D20,AI28,0)</f>
        <v>0</v>
      </c>
      <c r="AK28" s="5"/>
    </row>
    <row r="29" spans="1:37" ht="23.25" thickBot="1" x14ac:dyDescent="0.6">
      <c r="A29" s="1"/>
      <c r="B29" s="1"/>
      <c r="C29" s="1"/>
      <c r="D29" s="36"/>
      <c r="E29" s="42">
        <v>4</v>
      </c>
      <c r="F29" s="1"/>
      <c r="G29" s="5"/>
      <c r="H29" s="19">
        <v>28</v>
      </c>
      <c r="I29" s="72"/>
      <c r="J29" s="3"/>
      <c r="K29" s="5"/>
      <c r="L29" s="5"/>
      <c r="M29" s="5"/>
      <c r="N29" s="5"/>
      <c r="O29" s="5"/>
      <c r="P29" s="5"/>
      <c r="Q29" s="5"/>
      <c r="R29" s="5"/>
      <c r="S29" s="5"/>
      <c r="T29" s="5"/>
      <c r="U29" s="5"/>
      <c r="V29" s="5"/>
      <c r="W29" s="5"/>
      <c r="X29" s="5"/>
      <c r="Y29" s="5"/>
      <c r="Z29" s="5"/>
      <c r="AA29" s="5"/>
      <c r="AB29" s="5"/>
      <c r="AC29" s="5"/>
      <c r="AD29" s="1"/>
      <c r="AE29" s="1"/>
      <c r="AF29" s="1"/>
      <c r="AG29" s="5"/>
      <c r="AH29" s="542" t="s">
        <v>183</v>
      </c>
      <c r="AI29" s="543"/>
      <c r="AJ29" s="71">
        <f>SUM(AJ17:AJ28)</f>
        <v>0</v>
      </c>
      <c r="AK29" s="5"/>
    </row>
    <row r="30" spans="1:37" x14ac:dyDescent="0.55000000000000004">
      <c r="A30" s="212" t="s">
        <v>254</v>
      </c>
      <c r="B30" s="1"/>
      <c r="C30" s="1"/>
      <c r="D30" s="36" t="s">
        <v>58</v>
      </c>
      <c r="E30" s="42">
        <f>E28+'ورود اطلاعات'!F7</f>
        <v>6</v>
      </c>
      <c r="F30" s="1"/>
      <c r="G30" s="5"/>
      <c r="H30" s="19">
        <v>29</v>
      </c>
      <c r="I30" s="72"/>
      <c r="J30" s="65"/>
      <c r="K30" s="5"/>
      <c r="L30" s="5"/>
      <c r="M30" s="5"/>
      <c r="N30" s="5"/>
      <c r="O30" s="5"/>
      <c r="P30" s="5"/>
      <c r="Q30" s="5"/>
      <c r="R30" s="5"/>
      <c r="S30" s="5"/>
      <c r="T30" s="5"/>
      <c r="U30" s="5"/>
      <c r="V30" s="5"/>
      <c r="W30" s="5"/>
      <c r="X30" s="5"/>
      <c r="Y30" s="5"/>
      <c r="Z30" s="5"/>
      <c r="AA30" s="5"/>
      <c r="AB30" s="5"/>
      <c r="AC30" s="5"/>
      <c r="AD30" s="1"/>
      <c r="AE30" s="1"/>
      <c r="AF30" s="1"/>
      <c r="AG30" s="5"/>
      <c r="AH30" s="5"/>
      <c r="AI30" s="5"/>
      <c r="AJ30" s="5"/>
      <c r="AK30" s="5"/>
    </row>
    <row r="31" spans="1:37" x14ac:dyDescent="0.55000000000000004">
      <c r="A31" s="213" t="s">
        <v>269</v>
      </c>
      <c r="B31" s="1"/>
      <c r="C31" s="1"/>
      <c r="D31" s="36" t="s">
        <v>59</v>
      </c>
      <c r="E31" s="46">
        <f>1+'ورود اطلاعات'!F7</f>
        <v>6</v>
      </c>
      <c r="F31" s="1"/>
      <c r="G31" s="5"/>
      <c r="H31" s="19">
        <v>30</v>
      </c>
      <c r="I31" s="72"/>
      <c r="J31" s="6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row>
    <row r="32" spans="1:37" ht="23.25" thickBot="1" x14ac:dyDescent="0.6">
      <c r="A32" s="214" t="s">
        <v>270</v>
      </c>
      <c r="B32" s="1"/>
      <c r="C32" s="1"/>
      <c r="D32" s="36" t="s">
        <v>60</v>
      </c>
      <c r="E32" s="42">
        <v>0</v>
      </c>
      <c r="F32" s="1"/>
      <c r="G32" s="5"/>
      <c r="H32" s="19">
        <v>31</v>
      </c>
      <c r="I32" s="72"/>
      <c r="J32" s="6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x14ac:dyDescent="0.55000000000000004">
      <c r="A33" s="168"/>
      <c r="B33" s="84"/>
      <c r="C33" s="1"/>
      <c r="D33" s="36" t="s">
        <v>61</v>
      </c>
      <c r="E33" s="46">
        <f>IF('ورود اطلاعات'!F7+1&gt;'ورود اطلاعات'!F10,'ورود اطلاعات'!F10,'ورود اطلاعات'!F7+1)</f>
        <v>4</v>
      </c>
      <c r="F33" s="1"/>
      <c r="G33" s="5"/>
      <c r="H33" s="19">
        <v>32</v>
      </c>
      <c r="I33" s="64"/>
      <c r="J33" s="6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x14ac:dyDescent="0.55000000000000004">
      <c r="A34" s="1"/>
      <c r="B34" s="1"/>
      <c r="C34" s="1"/>
      <c r="D34" s="188" t="s">
        <v>249</v>
      </c>
      <c r="E34" s="191">
        <f>IF(F1='ورود اطلاعات'!F6,(1+'ورود اطلاعات'!F7)*'ورود اطلاعات'!F8,0)</f>
        <v>3720000</v>
      </c>
      <c r="F34" s="1"/>
      <c r="G34" s="5"/>
      <c r="H34" s="19">
        <v>33</v>
      </c>
      <c r="I34" s="64"/>
      <c r="J34" s="74" t="s">
        <v>80</v>
      </c>
      <c r="K34" s="75">
        <f>IF(F3='ورود اطلاعات'!B6,1,0)</f>
        <v>1</v>
      </c>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ht="23.25" thickBot="1" x14ac:dyDescent="0.6">
      <c r="A35" s="1"/>
      <c r="B35" s="1"/>
      <c r="C35" s="1"/>
      <c r="D35" s="192" t="s">
        <v>250</v>
      </c>
      <c r="E35" s="187">
        <f>IF(F1='ورود اطلاعات'!F6,E33*E27,0)</f>
        <v>1280000</v>
      </c>
      <c r="F35" s="1"/>
      <c r="G35" s="5"/>
      <c r="H35" s="19">
        <v>34</v>
      </c>
      <c r="I35" s="64"/>
      <c r="J35" s="74" t="s">
        <v>81</v>
      </c>
      <c r="K35" s="20">
        <f>IF(F5='ورود اطلاعات'!B7,K34*K36,0)</f>
        <v>810</v>
      </c>
      <c r="L35" s="5"/>
      <c r="M35" s="5"/>
      <c r="N35" s="5"/>
      <c r="O35" s="5"/>
      <c r="P35" s="5"/>
      <c r="Q35" s="5"/>
      <c r="R35" s="5"/>
      <c r="S35" s="5"/>
      <c r="T35" s="5"/>
      <c r="U35" s="5"/>
      <c r="V35" s="5"/>
      <c r="W35" s="5"/>
      <c r="X35" s="5"/>
      <c r="Y35" s="5"/>
      <c r="Z35" s="5"/>
      <c r="AA35" s="5"/>
      <c r="AB35" s="5"/>
      <c r="AC35" s="5"/>
      <c r="AD35" s="5"/>
      <c r="AE35" s="5"/>
      <c r="AF35" s="5"/>
      <c r="AG35" s="5"/>
      <c r="AH35" s="5"/>
      <c r="AI35" s="5"/>
      <c r="AJ35" s="5"/>
      <c r="AK35" s="5"/>
    </row>
    <row r="36" spans="1:37" ht="23.25" thickBot="1" x14ac:dyDescent="0.6">
      <c r="A36" s="1"/>
      <c r="B36" s="1"/>
      <c r="C36" s="1"/>
      <c r="D36" s="1"/>
      <c r="E36" s="1"/>
      <c r="F36" s="1"/>
      <c r="G36" s="5"/>
      <c r="H36" s="76">
        <v>35</v>
      </c>
      <c r="I36" s="64"/>
      <c r="J36" s="74" t="s">
        <v>82</v>
      </c>
      <c r="K36" s="20">
        <v>810</v>
      </c>
      <c r="L36" s="5"/>
      <c r="M36" s="5"/>
      <c r="N36" s="5"/>
      <c r="O36" s="5"/>
      <c r="P36" s="5"/>
      <c r="Q36" s="5"/>
      <c r="R36" s="5"/>
      <c r="S36" s="5"/>
      <c r="T36" s="5"/>
      <c r="U36" s="5"/>
      <c r="V36" s="5"/>
      <c r="W36" s="5"/>
      <c r="X36" s="5"/>
      <c r="Y36" s="5"/>
      <c r="Z36" s="5"/>
      <c r="AA36" s="5"/>
      <c r="AB36" s="5"/>
      <c r="AC36" s="5"/>
      <c r="AD36" s="5"/>
      <c r="AE36" s="5"/>
      <c r="AF36" s="5"/>
      <c r="AG36" s="5"/>
      <c r="AH36" s="5"/>
      <c r="AI36" s="5"/>
      <c r="AJ36" s="5"/>
      <c r="AK36" s="5"/>
    </row>
    <row r="37" spans="1:37" ht="23.25" thickBot="1" x14ac:dyDescent="0.6">
      <c r="A37" s="1"/>
      <c r="B37" s="1"/>
      <c r="C37" s="1"/>
      <c r="D37" s="1"/>
      <c r="E37" s="1"/>
      <c r="F37" s="1"/>
      <c r="G37" s="5"/>
      <c r="H37" s="19">
        <v>36</v>
      </c>
      <c r="I37" s="64"/>
      <c r="J37" s="74" t="s">
        <v>84</v>
      </c>
      <c r="K37" s="9">
        <v>210</v>
      </c>
      <c r="L37" s="5"/>
      <c r="M37" s="5"/>
      <c r="N37" s="5"/>
      <c r="O37" s="5"/>
      <c r="P37" s="5"/>
      <c r="Q37" s="5"/>
      <c r="R37" s="5"/>
      <c r="S37" s="5"/>
      <c r="T37" s="5"/>
      <c r="U37" s="5"/>
      <c r="V37" s="5"/>
      <c r="W37" s="5"/>
      <c r="X37" s="5"/>
      <c r="Y37" s="5"/>
      <c r="Z37" s="5"/>
      <c r="AA37" s="5"/>
      <c r="AB37" s="5"/>
      <c r="AC37" s="5"/>
      <c r="AD37" s="5"/>
      <c r="AE37" s="5"/>
      <c r="AF37" s="5"/>
      <c r="AG37" s="5"/>
      <c r="AH37" s="5"/>
      <c r="AI37" s="5"/>
      <c r="AJ37" s="5"/>
      <c r="AK37" s="5"/>
    </row>
    <row r="38" spans="1:37" x14ac:dyDescent="0.55000000000000004">
      <c r="A38" s="1"/>
      <c r="B38" s="1"/>
      <c r="C38" s="157" t="s">
        <v>210</v>
      </c>
      <c r="D38" s="108">
        <v>7.0000000000000007E-2</v>
      </c>
      <c r="E38" s="109">
        <f>SUM('حکم کارگزینی'!G3:G5,'حکم کارگزینی'!G7:G9,'حکم کارگزینی'!G13,'حکم کارگزینی'!G17,'حکم کارگزینی'!G23)</f>
        <v>20031941.202826925</v>
      </c>
      <c r="F38" s="110">
        <f>IF(C38='ورود اطلاعات'!F5,E38*D38,0)</f>
        <v>1402235.8841978849</v>
      </c>
      <c r="G38" s="5"/>
      <c r="H38" s="19">
        <v>37</v>
      </c>
      <c r="I38" s="64"/>
      <c r="J38" s="74" t="s">
        <v>85</v>
      </c>
      <c r="K38" s="9">
        <f>K41*K37</f>
        <v>840</v>
      </c>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23.25" thickBot="1" x14ac:dyDescent="0.6">
      <c r="A39" s="1"/>
      <c r="B39" s="1"/>
      <c r="C39" s="158" t="s">
        <v>211</v>
      </c>
      <c r="D39" s="111">
        <v>0.09</v>
      </c>
      <c r="E39" s="112">
        <f>E38</f>
        <v>20031941.202826925</v>
      </c>
      <c r="F39" s="113">
        <f>IF(C39='ورود اطلاعات'!F5,E39*D39,0)</f>
        <v>0</v>
      </c>
      <c r="G39" s="5"/>
      <c r="H39" s="76">
        <v>38</v>
      </c>
      <c r="I39" s="64"/>
      <c r="J39" s="74" t="s">
        <v>86</v>
      </c>
      <c r="K39" s="9">
        <f>IF(K34+K42&gt;0,1,0)</f>
        <v>1</v>
      </c>
      <c r="L39" s="5"/>
      <c r="M39" s="5"/>
      <c r="N39" s="5"/>
      <c r="O39" s="5"/>
      <c r="P39" s="5"/>
      <c r="Q39" s="5"/>
      <c r="R39" s="5"/>
      <c r="S39" s="5"/>
      <c r="T39" s="5"/>
      <c r="U39" s="5"/>
      <c r="V39" s="5"/>
      <c r="W39" s="5"/>
      <c r="X39" s="5"/>
      <c r="Y39" s="5"/>
      <c r="Z39" s="5"/>
      <c r="AA39" s="5"/>
      <c r="AB39" s="5"/>
      <c r="AC39" s="5"/>
      <c r="AD39" s="5"/>
      <c r="AE39" s="5"/>
      <c r="AF39" s="5"/>
      <c r="AG39" s="5"/>
      <c r="AH39" s="5"/>
      <c r="AI39" s="5"/>
      <c r="AJ39" s="5"/>
      <c r="AK39" s="5"/>
    </row>
    <row r="40" spans="1:37" ht="23.25" thickBot="1" x14ac:dyDescent="0.6">
      <c r="A40" s="1"/>
      <c r="B40" s="1"/>
      <c r="C40" s="159"/>
      <c r="D40" s="114"/>
      <c r="E40" s="115" t="s">
        <v>212</v>
      </c>
      <c r="F40" s="116">
        <f>F38+F39</f>
        <v>1402235.8841978849</v>
      </c>
      <c r="G40" s="5"/>
      <c r="H40" s="19">
        <v>39</v>
      </c>
      <c r="I40" s="64"/>
      <c r="J40" s="74" t="s">
        <v>88</v>
      </c>
      <c r="K40" s="9">
        <f>'ورود اطلاعات'!B8</f>
        <v>4</v>
      </c>
      <c r="L40" s="5"/>
      <c r="M40" s="5"/>
      <c r="N40" s="5"/>
      <c r="O40" s="5"/>
      <c r="P40" s="5"/>
      <c r="Q40" s="5"/>
      <c r="R40" s="5"/>
      <c r="S40" s="5"/>
      <c r="T40" s="5"/>
      <c r="U40" s="5"/>
      <c r="V40" s="5"/>
      <c r="W40" s="5"/>
      <c r="X40" s="5"/>
      <c r="Y40" s="5"/>
      <c r="Z40" s="5"/>
      <c r="AA40" s="5"/>
      <c r="AB40" s="5"/>
      <c r="AC40" s="5"/>
      <c r="AD40" s="5"/>
      <c r="AE40" s="5"/>
      <c r="AF40" s="5"/>
      <c r="AG40" s="5"/>
      <c r="AH40" s="5"/>
      <c r="AI40" s="5"/>
      <c r="AJ40" s="5"/>
      <c r="AK40" s="5"/>
    </row>
    <row r="41" spans="1:37" ht="23.25" thickBot="1" x14ac:dyDescent="0.6">
      <c r="A41" s="1"/>
      <c r="B41" s="1"/>
      <c r="C41" s="1"/>
      <c r="D41" s="1"/>
      <c r="E41" s="1"/>
      <c r="F41" s="1"/>
      <c r="G41" s="5"/>
      <c r="H41" s="19">
        <v>40</v>
      </c>
      <c r="I41" s="64"/>
      <c r="J41" s="74" t="s">
        <v>87</v>
      </c>
      <c r="K41" s="9">
        <f>K40*K39</f>
        <v>4</v>
      </c>
      <c r="L41" s="5"/>
      <c r="M41" s="5"/>
      <c r="N41" s="5"/>
      <c r="O41" s="5"/>
      <c r="P41" s="5"/>
      <c r="Q41" s="5"/>
      <c r="R41" s="5"/>
      <c r="S41" s="5"/>
      <c r="T41" s="5"/>
      <c r="U41" s="5"/>
      <c r="V41" s="5"/>
      <c r="W41" s="5"/>
      <c r="X41" s="5"/>
      <c r="Y41" s="5"/>
      <c r="Z41" s="5"/>
      <c r="AA41" s="5"/>
      <c r="AB41" s="5"/>
      <c r="AC41" s="5"/>
      <c r="AD41" s="5"/>
      <c r="AE41" s="5"/>
      <c r="AF41" s="5"/>
      <c r="AG41" s="5"/>
      <c r="AH41" s="5"/>
      <c r="AI41" s="5"/>
      <c r="AJ41" s="5"/>
      <c r="AK41" s="5"/>
    </row>
    <row r="42" spans="1:37" ht="23.25" thickBot="1" x14ac:dyDescent="0.6">
      <c r="A42" s="1"/>
      <c r="B42" s="1"/>
      <c r="C42" s="160" t="s">
        <v>217</v>
      </c>
      <c r="D42" s="127">
        <f>SUM('حکم کارگزینی'!G3:G5,'حکم کارگزینی'!G8,'حکم کارگزینی'!G9,'حکم کارگزینی'!G13,'حکم کارگزینی'!G17)</f>
        <v>20031941.202826925</v>
      </c>
      <c r="E42" s="1"/>
      <c r="F42" s="125"/>
      <c r="G42" s="5"/>
      <c r="H42" s="76">
        <v>41</v>
      </c>
      <c r="I42" s="64"/>
      <c r="J42" s="74" t="s">
        <v>89</v>
      </c>
      <c r="K42" s="9">
        <f>IF(F7='ورود اطلاعات'!B7,1,0)</f>
        <v>0</v>
      </c>
      <c r="L42" s="5"/>
      <c r="M42" s="5"/>
      <c r="N42" s="5"/>
      <c r="O42" s="5"/>
      <c r="P42" s="5"/>
      <c r="Q42" s="5"/>
      <c r="R42" s="5"/>
      <c r="S42" s="5"/>
      <c r="T42" s="5"/>
      <c r="U42" s="5"/>
      <c r="V42" s="5"/>
      <c r="W42" s="5"/>
      <c r="X42" s="5"/>
      <c r="Y42" s="5"/>
      <c r="Z42" s="5"/>
      <c r="AA42" s="5"/>
      <c r="AB42" s="5"/>
      <c r="AC42" s="5"/>
      <c r="AD42" s="5"/>
      <c r="AE42" s="5"/>
      <c r="AF42" s="5"/>
      <c r="AG42" s="5"/>
      <c r="AH42" s="5"/>
      <c r="AI42" s="5"/>
      <c r="AJ42" s="5"/>
      <c r="AK42" s="5"/>
    </row>
    <row r="43" spans="1:37" ht="23.25" thickBot="1" x14ac:dyDescent="0.6">
      <c r="A43" s="1"/>
      <c r="B43" s="1"/>
      <c r="C43" s="161" t="s">
        <v>170</v>
      </c>
      <c r="D43" s="128">
        <f>B7</f>
        <v>11230000</v>
      </c>
      <c r="E43" s="1"/>
      <c r="F43" s="126"/>
      <c r="G43" s="5"/>
      <c r="H43" s="19">
        <v>42</v>
      </c>
      <c r="I43" s="64"/>
      <c r="J43" s="6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row>
    <row r="44" spans="1:37" x14ac:dyDescent="0.55000000000000004">
      <c r="A44" s="1"/>
      <c r="B44" s="1"/>
      <c r="C44" s="160" t="s">
        <v>218</v>
      </c>
      <c r="D44" s="127">
        <f>D43/20</f>
        <v>561500</v>
      </c>
      <c r="E44" s="5"/>
      <c r="F44" s="126"/>
      <c r="G44" s="5"/>
      <c r="H44" s="19">
        <v>43</v>
      </c>
      <c r="I44" s="64"/>
      <c r="J44" s="6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ht="23.25" thickBot="1" x14ac:dyDescent="0.6">
      <c r="A45" s="1"/>
      <c r="B45" s="1"/>
      <c r="C45" s="162" t="s">
        <v>219</v>
      </c>
      <c r="D45" s="128">
        <f>(D42-D43)/50</f>
        <v>176038.82405653849</v>
      </c>
      <c r="E45" s="5"/>
      <c r="F45" s="5"/>
      <c r="G45" s="5"/>
      <c r="H45" s="76">
        <v>44</v>
      </c>
      <c r="I45" s="64"/>
      <c r="J45" s="6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ht="23.25" thickBot="1" x14ac:dyDescent="0.6">
      <c r="A46" s="1"/>
      <c r="B46" s="1"/>
      <c r="C46" s="160" t="s">
        <v>222</v>
      </c>
      <c r="D46" s="127">
        <f>D44+D45</f>
        <v>737538.82405653852</v>
      </c>
      <c r="E46" s="127">
        <f>IF(C46='ورود اطلاعات'!F15,'ورود اطلاعات'!F14*D46,0)</f>
        <v>0</v>
      </c>
      <c r="F46" s="5"/>
      <c r="G46" s="5"/>
      <c r="H46" s="19">
        <v>45</v>
      </c>
      <c r="I46" s="64"/>
      <c r="J46" s="6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ht="23.25" thickBot="1" x14ac:dyDescent="0.6">
      <c r="A47" s="1"/>
      <c r="B47" s="1"/>
      <c r="C47" s="161" t="s">
        <v>223</v>
      </c>
      <c r="D47" s="128">
        <f>D46/2</f>
        <v>368769.41202826926</v>
      </c>
      <c r="E47" s="129">
        <f>IF(C47='ورود اطلاعات'!F15,'ورود اطلاعات'!F14*D47,0)</f>
        <v>0</v>
      </c>
      <c r="F47" s="5"/>
      <c r="G47" s="5"/>
      <c r="H47" s="19">
        <v>46</v>
      </c>
      <c r="I47" s="64"/>
      <c r="J47" s="6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1:37" ht="23.25" thickBot="1" x14ac:dyDescent="0.6">
      <c r="A48" s="1"/>
      <c r="B48" s="1"/>
      <c r="C48" s="570" t="s">
        <v>224</v>
      </c>
      <c r="D48" s="571"/>
      <c r="E48" s="130">
        <f>E46+E47</f>
        <v>0</v>
      </c>
      <c r="F48" s="5"/>
      <c r="G48" s="5"/>
      <c r="H48" s="76">
        <v>47</v>
      </c>
      <c r="I48" s="64"/>
      <c r="J48" s="6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1:37" x14ac:dyDescent="0.55000000000000004">
      <c r="A49" s="1"/>
      <c r="B49" s="1"/>
      <c r="C49" s="133" t="s">
        <v>223</v>
      </c>
      <c r="D49" s="134">
        <v>61000</v>
      </c>
      <c r="E49" s="135"/>
      <c r="F49" s="5"/>
      <c r="G49" s="5"/>
      <c r="H49" s="19">
        <v>48</v>
      </c>
      <c r="I49" s="64"/>
      <c r="J49" s="6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1:37" x14ac:dyDescent="0.55000000000000004">
      <c r="A50" s="100"/>
      <c r="B50" s="99"/>
      <c r="C50" s="136" t="s">
        <v>312</v>
      </c>
      <c r="D50" s="137">
        <f>22*D49</f>
        <v>1342000</v>
      </c>
      <c r="E50" s="138">
        <f>IF(C50='ورود اطلاعات'!F18,D50,0)</f>
        <v>0</v>
      </c>
      <c r="F50" s="5"/>
      <c r="G50" s="5"/>
      <c r="H50" s="19">
        <v>49</v>
      </c>
      <c r="I50" s="64"/>
      <c r="J50" s="6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1:37" ht="23.25" thickBot="1" x14ac:dyDescent="0.6">
      <c r="A51" s="100"/>
      <c r="B51" s="99"/>
      <c r="C51" s="139" t="s">
        <v>313</v>
      </c>
      <c r="D51" s="140">
        <f>26*D49</f>
        <v>1586000</v>
      </c>
      <c r="E51" s="141">
        <f>IF(C51='ورود اطلاعات'!F18,D51,0)</f>
        <v>0</v>
      </c>
      <c r="F51" s="5"/>
      <c r="G51" s="5"/>
      <c r="H51" s="76">
        <v>50</v>
      </c>
      <c r="I51" s="64"/>
      <c r="J51" s="6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2" spans="1:37" ht="23.25" thickBot="1" x14ac:dyDescent="0.6">
      <c r="A52" s="100"/>
      <c r="B52" s="99"/>
      <c r="C52" s="139" t="s">
        <v>314</v>
      </c>
      <c r="D52" s="140">
        <f>30*D49</f>
        <v>1830000</v>
      </c>
      <c r="E52" s="141">
        <f>IF(C52='ورود اطلاعات'!F18,D52,0)</f>
        <v>0</v>
      </c>
      <c r="F52" s="5"/>
      <c r="G52" s="5"/>
      <c r="H52" s="5"/>
      <c r="I52" s="64"/>
      <c r="J52" s="6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row>
    <row r="53" spans="1:37" ht="23.25" thickBot="1" x14ac:dyDescent="0.6">
      <c r="A53" s="49"/>
      <c r="B53" s="49"/>
      <c r="C53" s="520" t="s">
        <v>234</v>
      </c>
      <c r="D53" s="521"/>
      <c r="E53" s="132">
        <f>D49*'ورود اطلاعات'!F18</f>
        <v>1830000</v>
      </c>
      <c r="F53" s="5"/>
      <c r="G53" s="5"/>
      <c r="H53" s="5"/>
      <c r="I53" s="64"/>
      <c r="J53" s="6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row>
    <row r="54" spans="1:37" x14ac:dyDescent="0.55000000000000004">
      <c r="A54" s="49"/>
      <c r="B54" s="49"/>
      <c r="C54" s="142" t="s">
        <v>231</v>
      </c>
      <c r="D54" s="143">
        <v>0</v>
      </c>
      <c r="E54" s="144">
        <f>IF(C54='ورود اطلاعات'!F17,D54,0)</f>
        <v>0</v>
      </c>
      <c r="F54" s="5"/>
      <c r="G54" s="5"/>
      <c r="H54" s="5"/>
      <c r="I54" s="64"/>
      <c r="J54" s="6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row>
    <row r="55" spans="1:37" x14ac:dyDescent="0.55000000000000004">
      <c r="A55" s="5"/>
      <c r="B55" s="5"/>
      <c r="C55" s="145" t="s">
        <v>232</v>
      </c>
      <c r="D55" s="146">
        <v>840000</v>
      </c>
      <c r="E55" s="147">
        <f>IF(C55='ورود اطلاعات'!F17,D55,0)</f>
        <v>0</v>
      </c>
      <c r="F55" s="5"/>
      <c r="G55" s="5"/>
      <c r="H55" s="5"/>
      <c r="I55" s="64"/>
      <c r="J55" s="6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row>
    <row r="56" spans="1:37" x14ac:dyDescent="0.55000000000000004">
      <c r="A56" s="5"/>
      <c r="B56" s="5"/>
      <c r="C56" s="145" t="s">
        <v>233</v>
      </c>
      <c r="D56" s="146">
        <v>1260000</v>
      </c>
      <c r="E56" s="147">
        <f>IF(C56='ورود اطلاعات'!F17,D56,0)</f>
        <v>1260000</v>
      </c>
      <c r="F56" s="5"/>
      <c r="G56" s="5"/>
      <c r="H56" s="5"/>
      <c r="I56" s="64"/>
      <c r="J56" s="6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row>
    <row r="57" spans="1:37" ht="23.25" thickBot="1" x14ac:dyDescent="0.6">
      <c r="A57" s="5"/>
      <c r="B57" s="5"/>
      <c r="C57" s="581" t="s">
        <v>230</v>
      </c>
      <c r="D57" s="582"/>
      <c r="E57" s="148">
        <f>SUM(E54:E56)</f>
        <v>1260000</v>
      </c>
      <c r="F57" s="1"/>
      <c r="G57" s="1"/>
      <c r="H57" s="1"/>
      <c r="I57" s="64"/>
      <c r="J57" s="6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row>
    <row r="58" spans="1:37" ht="23.25" thickBot="1" x14ac:dyDescent="0.6">
      <c r="A58" s="5"/>
      <c r="B58" s="5"/>
      <c r="C58" s="583" t="s">
        <v>235</v>
      </c>
      <c r="D58" s="584"/>
      <c r="E58" s="149">
        <f>IF(F2='ورود اطلاعات'!B5,E53+E57,0)</f>
        <v>3090000</v>
      </c>
      <c r="F58" s="1"/>
      <c r="G58" s="1"/>
      <c r="H58" s="1"/>
      <c r="I58" s="64"/>
      <c r="J58" s="6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row>
    <row r="59" spans="1:37" x14ac:dyDescent="0.55000000000000004">
      <c r="A59" s="5"/>
      <c r="B59" s="5"/>
      <c r="C59" s="331" t="s">
        <v>75</v>
      </c>
      <c r="D59" s="332" t="s">
        <v>303</v>
      </c>
      <c r="E59" s="333" t="s">
        <v>104</v>
      </c>
      <c r="F59" s="1"/>
      <c r="G59" s="1"/>
      <c r="H59" s="1"/>
      <c r="I59" s="64"/>
      <c r="J59" s="6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row>
    <row r="60" spans="1:37" x14ac:dyDescent="0.55000000000000004">
      <c r="A60" s="5"/>
      <c r="B60" s="5"/>
      <c r="C60" s="153">
        <f>IF(F4='ورود اطلاعات'!B6,1,0)</f>
        <v>0</v>
      </c>
      <c r="D60" s="151">
        <f>IF(F5='ورود اطلاعات'!B7,1,0)</f>
        <v>1</v>
      </c>
      <c r="E60" s="154">
        <f>D60*C60</f>
        <v>0</v>
      </c>
      <c r="F60" s="1"/>
      <c r="G60" s="1"/>
      <c r="H60" s="1"/>
      <c r="I60" s="64"/>
      <c r="J60" s="6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row>
    <row r="61" spans="1:37" x14ac:dyDescent="0.55000000000000004">
      <c r="A61" s="1"/>
      <c r="B61" s="1"/>
      <c r="C61" s="155">
        <f>IF(F4='ورود اطلاعات'!B6,1,0)</f>
        <v>0</v>
      </c>
      <c r="D61" s="152">
        <f>IF(F8='ورود اطلاعات'!B7,1,0)</f>
        <v>0</v>
      </c>
      <c r="E61" s="156">
        <f>D61*C61</f>
        <v>0</v>
      </c>
      <c r="F61" s="1"/>
      <c r="G61" s="1"/>
      <c r="H61" s="1"/>
      <c r="I61" s="2"/>
      <c r="J61" s="3"/>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row>
    <row r="62" spans="1:37" x14ac:dyDescent="0.55000000000000004">
      <c r="A62" s="1"/>
      <c r="B62" s="1"/>
      <c r="C62" s="155">
        <f>IF(F4='ورود اطلاعات'!B6,1,0)</f>
        <v>0</v>
      </c>
      <c r="D62" s="152">
        <f>IF(F7='ورود اطلاعات'!B7,1,0)</f>
        <v>0</v>
      </c>
      <c r="E62" s="156">
        <f>D62*C62</f>
        <v>0</v>
      </c>
      <c r="F62" s="1"/>
      <c r="G62" s="1"/>
      <c r="H62" s="1"/>
      <c r="I62" s="2"/>
      <c r="J62" s="3"/>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row>
    <row r="63" spans="1:37" x14ac:dyDescent="0.55000000000000004">
      <c r="A63" s="1"/>
      <c r="B63" s="1"/>
      <c r="C63" s="522" t="s">
        <v>239</v>
      </c>
      <c r="D63" s="523"/>
      <c r="E63" s="156">
        <f>E60+E61+E62</f>
        <v>0</v>
      </c>
      <c r="F63" s="1"/>
      <c r="G63" s="1"/>
      <c r="H63" s="1"/>
      <c r="I63" s="2"/>
      <c r="J63" s="3"/>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row>
    <row r="64" spans="1:37" ht="23.25" thickBot="1" x14ac:dyDescent="0.6">
      <c r="A64" s="1"/>
      <c r="B64" s="1"/>
      <c r="C64" s="524" t="s">
        <v>237</v>
      </c>
      <c r="D64" s="525"/>
      <c r="E64" s="334">
        <f>IF('ورود اطلاعات'!F19&gt;'ورود اطلاعات'!B8,'ورود اطلاعات'!B8,'ورود اطلاعات'!F19)</f>
        <v>0</v>
      </c>
      <c r="F64" s="1"/>
      <c r="G64" s="1"/>
      <c r="H64" s="1"/>
      <c r="I64" s="2"/>
      <c r="J64" s="3"/>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row>
    <row r="65" spans="1:37" ht="23.25" thickBot="1" x14ac:dyDescent="0.6">
      <c r="A65" s="1"/>
      <c r="B65" s="1"/>
      <c r="C65" s="587" t="s">
        <v>238</v>
      </c>
      <c r="D65" s="588"/>
      <c r="E65" s="150">
        <f>E64*E63*1000000</f>
        <v>0</v>
      </c>
      <c r="F65" s="1"/>
      <c r="G65" s="1"/>
      <c r="H65" s="1"/>
      <c r="I65" s="2"/>
      <c r="J65" s="3"/>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row>
    <row r="66" spans="1:37" ht="23.25" thickBot="1" x14ac:dyDescent="0.6">
      <c r="A66" s="1"/>
      <c r="B66" s="1"/>
      <c r="C66" s="121" t="s">
        <v>54</v>
      </c>
      <c r="D66" s="122">
        <f>'فیش حقوقی'!B12+'فیش حقوقی'!B5+'حکم کارگزینی'!G6+'حکم کارگزینی'!G7+'حکم کارگزینی'!G8+'حکم کارگزینی'!G9+'حکم کارگزینی'!G10+'حکم کارگزینی'!G11+'حکم کارگزینی'!G12+'حکم کارگزینی'!G13+'حکم کارگزینی'!G14+'حکم کارگزینی'!G15+'حکم کارگزینی'!G16+'حکم کارگزینی'!G17+'حکم کارگزینی'!G20+'حکم کارگزینی'!G21+'حکم کارگزینی'!G23</f>
        <v>25378985.880228516</v>
      </c>
      <c r="E66" s="117"/>
      <c r="F66" s="5"/>
      <c r="G66" s="1"/>
      <c r="H66" s="1"/>
      <c r="I66" s="2"/>
      <c r="J66" s="3"/>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row>
    <row r="67" spans="1:37" ht="23.25" thickBot="1" x14ac:dyDescent="0.6">
      <c r="A67" s="1"/>
      <c r="B67" s="1"/>
      <c r="C67" s="1"/>
      <c r="D67" s="1"/>
      <c r="E67" s="1"/>
      <c r="F67" s="1"/>
      <c r="G67" s="1"/>
      <c r="H67" s="1"/>
      <c r="I67" s="2"/>
      <c r="J67" s="3"/>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row>
    <row r="68" spans="1:37" ht="23.25" thickBot="1" x14ac:dyDescent="0.6">
      <c r="A68" s="1"/>
      <c r="B68" s="1"/>
      <c r="C68" s="329" t="s">
        <v>383</v>
      </c>
      <c r="D68" s="330">
        <f>IF(SUM('حکم کارگزینی'!G6,'حکم کارگزینی'!G8,'حکم کارگزینی'!G9,'حکم کارگزینی'!G13,'حکم کارگزینی'!G17)&lt;12420000,12420000-SUM('حکم کارگزینی'!G6,'حکم کارگزینی'!G8,'حکم کارگزینی'!G9,'حکم کارگزینی'!G13,'حکم کارگزینی'!G17),0)</f>
        <v>0</v>
      </c>
      <c r="E68" s="1"/>
      <c r="F68" s="1"/>
      <c r="G68" s="1"/>
      <c r="H68" s="1"/>
      <c r="I68" s="2"/>
      <c r="J68" s="3"/>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x14ac:dyDescent="0.55000000000000004">
      <c r="A69" s="1"/>
      <c r="B69" s="1"/>
      <c r="C69" s="329" t="s">
        <v>382</v>
      </c>
      <c r="D69" s="330">
        <f>IF(SUM('حکم کارگزینی'!G3:G5,'حکم کارگزینی'!G8,'حکم کارگزینی'!G9,'حکم کارگزینی'!G13,'حکم کارگزینی'!G17)&lt;12000000,12000000-SUM('حکم کارگزینی'!G3:G5,'حکم کارگزینی'!G8,'حکم کارگزینی'!G9,'حکم کارگزینی'!G13,'حکم کارگزینی'!G17),0)</f>
        <v>0</v>
      </c>
      <c r="E69" s="1"/>
      <c r="F69" s="1"/>
      <c r="G69" s="1"/>
      <c r="H69" s="1"/>
      <c r="I69" s="2"/>
      <c r="J69" s="3"/>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row>
    <row r="70" spans="1:37" x14ac:dyDescent="0.55000000000000004">
      <c r="A70" s="1"/>
      <c r="B70" s="1"/>
      <c r="C70" s="90"/>
      <c r="D70" s="90" t="s">
        <v>322</v>
      </c>
      <c r="E70" s="90" t="s">
        <v>323</v>
      </c>
      <c r="F70" s="90" t="s">
        <v>324</v>
      </c>
      <c r="G70" s="90" t="s">
        <v>9</v>
      </c>
      <c r="H70" s="90" t="s">
        <v>325</v>
      </c>
      <c r="I70" s="2"/>
      <c r="J70" s="3"/>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row>
    <row r="71" spans="1:37" x14ac:dyDescent="0.55000000000000004">
      <c r="A71" s="1"/>
      <c r="B71" s="1"/>
      <c r="C71" s="90" t="s">
        <v>321</v>
      </c>
      <c r="D71" s="90">
        <v>51.9</v>
      </c>
      <c r="E71" s="90">
        <f>'ورود اطلاعات'!B16*محاسبات!D71</f>
        <v>0</v>
      </c>
      <c r="F71" s="90">
        <f>D71*'ورود اطلاعات'!B17*2</f>
        <v>0</v>
      </c>
      <c r="G71" s="90">
        <f>F71+E71</f>
        <v>0</v>
      </c>
      <c r="H71" s="90">
        <f>IF(G71&gt;1038,1038,G71)</f>
        <v>0</v>
      </c>
      <c r="I71" s="2"/>
      <c r="J71" s="3"/>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row>
    <row r="72" spans="1:37" ht="23.25" thickBot="1" x14ac:dyDescent="0.6">
      <c r="A72" s="1"/>
      <c r="B72" s="1"/>
      <c r="C72" s="90" t="s">
        <v>263</v>
      </c>
      <c r="D72" s="90">
        <v>52.5</v>
      </c>
      <c r="E72" s="90">
        <f>D72*'ورود اطلاعات'!B16</f>
        <v>0</v>
      </c>
      <c r="F72" s="90">
        <f>D72*'ورود اطلاعات'!B17*2</f>
        <v>0</v>
      </c>
      <c r="G72" s="90">
        <f>F72+E72</f>
        <v>0</v>
      </c>
      <c r="H72" s="90">
        <f>IF(G72&gt;1050,1050,G72)</f>
        <v>0</v>
      </c>
      <c r="I72" s="2"/>
      <c r="J72" s="3"/>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row>
    <row r="73" spans="1:37" ht="23.25" thickBot="1" x14ac:dyDescent="0.6">
      <c r="A73" s="1"/>
      <c r="B73" s="1"/>
      <c r="C73" s="183" t="s">
        <v>331</v>
      </c>
      <c r="D73" s="184">
        <f>D74+D75+23000000</f>
        <v>33971138.822922431</v>
      </c>
      <c r="E73" s="1"/>
      <c r="F73" s="1"/>
      <c r="G73" s="1"/>
      <c r="H73" s="1"/>
      <c r="I73" s="2"/>
      <c r="J73" s="3"/>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row>
    <row r="74" spans="1:37" ht="23.25" thickBot="1" x14ac:dyDescent="0.6">
      <c r="A74" s="1"/>
      <c r="B74" s="1"/>
      <c r="C74" s="183" t="s">
        <v>330</v>
      </c>
      <c r="D74" s="184">
        <f>'فیش حقوقی'!E4</f>
        <v>3720000</v>
      </c>
      <c r="E74" s="1"/>
      <c r="F74" s="1"/>
      <c r="G74" s="1"/>
      <c r="H74" s="1"/>
      <c r="I74" s="2"/>
      <c r="J74" s="3"/>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row>
    <row r="75" spans="1:37" ht="23.25" thickBot="1" x14ac:dyDescent="0.6">
      <c r="A75" s="1"/>
      <c r="B75" s="1"/>
      <c r="C75" s="183" t="s">
        <v>329</v>
      </c>
      <c r="D75" s="184">
        <f>('حق شاغل و مالیات'!M10*2)/7</f>
        <v>7251138.8229224328</v>
      </c>
      <c r="E75" s="1"/>
      <c r="F75" s="1"/>
      <c r="G75" s="1"/>
      <c r="H75" s="1"/>
      <c r="I75" s="2"/>
      <c r="J75" s="3"/>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7" x14ac:dyDescent="0.55000000000000004">
      <c r="A76" s="1"/>
      <c r="B76" s="1"/>
      <c r="C76" s="183" t="s">
        <v>201</v>
      </c>
      <c r="D76" s="184">
        <f>IF('حق شاغل و مالیات'!M10&lt;محاسبات!D73,'حق شاغل و مالیات'!M10,D73)</f>
        <v>25378985.880228516</v>
      </c>
      <c r="E76" s="92"/>
      <c r="F76" s="93"/>
      <c r="G76" s="1"/>
      <c r="H76" s="1"/>
      <c r="I76" s="2"/>
      <c r="J76" s="3"/>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row>
    <row r="77" spans="1:37" x14ac:dyDescent="0.55000000000000004">
      <c r="A77" s="1"/>
      <c r="B77" s="1"/>
      <c r="C77" s="170" t="s">
        <v>202</v>
      </c>
      <c r="D77" s="182">
        <f>IF('حق شاغل و مالیات'!M10&lt;محاسبات!D73,0,'حق شاغل و مالیات'!M10-محاسبات!D73)</f>
        <v>0</v>
      </c>
      <c r="E77" s="90">
        <f>IF(D77&gt;69000000,69000000,D77)</f>
        <v>0</v>
      </c>
      <c r="F77" s="95">
        <f>IF(E77&gt;0,E77,0)</f>
        <v>0</v>
      </c>
      <c r="G77" s="1"/>
      <c r="H77" s="1"/>
      <c r="I77" s="2"/>
      <c r="J77" s="3"/>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row>
    <row r="78" spans="1:37" x14ac:dyDescent="0.55000000000000004">
      <c r="A78" s="1"/>
      <c r="B78" s="1"/>
      <c r="C78" s="169" t="s">
        <v>203</v>
      </c>
      <c r="D78" s="182">
        <f>D77-E77</f>
        <v>0</v>
      </c>
      <c r="E78" s="90">
        <f>IF(D78&gt;23000000,23000000,D78)</f>
        <v>0</v>
      </c>
      <c r="F78" s="95">
        <f>IF(E78&gt;0,E78,0)</f>
        <v>0</v>
      </c>
      <c r="G78" s="1"/>
      <c r="H78" s="1"/>
      <c r="I78" s="2"/>
      <c r="J78" s="3"/>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row>
    <row r="79" spans="1:37" x14ac:dyDescent="0.55000000000000004">
      <c r="A79" s="1"/>
      <c r="B79" s="1"/>
      <c r="C79" s="170" t="s">
        <v>204</v>
      </c>
      <c r="D79" s="182">
        <f>D78-E78</f>
        <v>0</v>
      </c>
      <c r="E79" s="90">
        <f>IF(D79&gt;46000000,46000000,D79)</f>
        <v>0</v>
      </c>
      <c r="F79" s="95">
        <f>IF(E79&gt;0,E79,0)</f>
        <v>0</v>
      </c>
      <c r="G79" s="1"/>
      <c r="H79" s="1"/>
      <c r="I79" s="2"/>
      <c r="J79" s="3"/>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row>
    <row r="80" spans="1:37" ht="23.25" thickBot="1" x14ac:dyDescent="0.6">
      <c r="A80" s="1"/>
      <c r="B80" s="1"/>
      <c r="C80" s="171" t="s">
        <v>205</v>
      </c>
      <c r="D80" s="185">
        <f>D79-E79</f>
        <v>0</v>
      </c>
      <c r="E80" s="186"/>
      <c r="F80" s="187">
        <f>IF(D80&gt;0,D80,0)</f>
        <v>0</v>
      </c>
      <c r="G80" s="1"/>
      <c r="H80" s="1"/>
      <c r="I80" s="2"/>
      <c r="J80" s="3"/>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row>
    <row r="81" spans="1:37" ht="23.25" thickBot="1" x14ac:dyDescent="0.6">
      <c r="A81" s="1"/>
      <c r="B81" s="1"/>
      <c r="C81" s="1"/>
      <c r="D81" s="1"/>
      <c r="E81" s="1"/>
      <c r="F81" s="1"/>
      <c r="G81" s="1"/>
      <c r="H81" s="1"/>
      <c r="I81" s="2"/>
      <c r="J81" s="3"/>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row>
    <row r="82" spans="1:37" x14ac:dyDescent="0.55000000000000004">
      <c r="A82" s="1"/>
      <c r="B82" s="1"/>
      <c r="C82" s="200" t="s">
        <v>32</v>
      </c>
      <c r="D82" s="201">
        <v>0</v>
      </c>
      <c r="E82" s="93">
        <f>IF(C82='ورود اطلاعات'!D14,D82,0)</f>
        <v>0</v>
      </c>
      <c r="F82" s="1"/>
      <c r="G82" s="1"/>
      <c r="H82" s="1"/>
      <c r="I82" s="2"/>
      <c r="J82" s="3"/>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row>
    <row r="83" spans="1:37" x14ac:dyDescent="0.55000000000000004">
      <c r="A83" s="1"/>
      <c r="B83" s="1"/>
      <c r="C83" s="198" t="s">
        <v>71</v>
      </c>
      <c r="D83" s="199">
        <v>800</v>
      </c>
      <c r="E83" s="95">
        <f>IF(C83='ورود اطلاعات'!D14,D83,0)</f>
        <v>0</v>
      </c>
      <c r="F83" s="1"/>
      <c r="G83" s="1"/>
      <c r="H83" s="1"/>
      <c r="I83" s="2"/>
      <c r="J83" s="3"/>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row>
    <row r="84" spans="1:37" x14ac:dyDescent="0.55000000000000004">
      <c r="A84" s="1"/>
      <c r="B84" s="1"/>
      <c r="C84" s="198" t="s">
        <v>257</v>
      </c>
      <c r="D84" s="199">
        <v>650</v>
      </c>
      <c r="E84" s="95">
        <f>IF(C84='ورود اطلاعات'!D14,D84,0)</f>
        <v>0</v>
      </c>
      <c r="F84" s="1"/>
      <c r="G84" s="1"/>
      <c r="H84" s="1"/>
      <c r="I84" s="2"/>
      <c r="J84" s="3"/>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row>
    <row r="85" spans="1:37" x14ac:dyDescent="0.55000000000000004">
      <c r="A85" s="1"/>
      <c r="B85" s="1"/>
      <c r="C85" s="198" t="s">
        <v>258</v>
      </c>
      <c r="D85" s="199">
        <v>500</v>
      </c>
      <c r="E85" s="95">
        <f>IF(C85='ورود اطلاعات'!D14,D85,0)</f>
        <v>0</v>
      </c>
      <c r="F85" s="1"/>
      <c r="G85" s="1"/>
      <c r="H85" s="1"/>
      <c r="I85" s="2"/>
      <c r="J85" s="3"/>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row>
    <row r="86" spans="1:37" x14ac:dyDescent="0.55000000000000004">
      <c r="A86" s="1"/>
      <c r="B86" s="1"/>
      <c r="C86" s="198" t="s">
        <v>259</v>
      </c>
      <c r="D86" s="199">
        <v>400</v>
      </c>
      <c r="E86" s="95">
        <f>IF(C86='ورود اطلاعات'!D14,D86,0)</f>
        <v>0</v>
      </c>
      <c r="F86" s="1"/>
      <c r="G86" s="1"/>
      <c r="H86" s="1"/>
      <c r="I86" s="2"/>
      <c r="J86" s="3"/>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row>
    <row r="87" spans="1:37" x14ac:dyDescent="0.55000000000000004">
      <c r="A87" s="1"/>
      <c r="B87" s="1"/>
      <c r="C87" s="198" t="s">
        <v>260</v>
      </c>
      <c r="D87" s="199">
        <v>800</v>
      </c>
      <c r="E87" s="95">
        <f>IF(C87='ورود اطلاعات'!D14,D87,0)</f>
        <v>0</v>
      </c>
      <c r="F87" s="1"/>
      <c r="G87" s="1"/>
      <c r="H87" s="1"/>
      <c r="I87" s="2"/>
      <c r="J87" s="3"/>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row>
    <row r="88" spans="1:37" ht="23.25" thickBot="1" x14ac:dyDescent="0.6">
      <c r="A88" s="1"/>
      <c r="B88" s="1"/>
      <c r="C88" s="202" t="s">
        <v>261</v>
      </c>
      <c r="D88" s="585">
        <f>SUM(E82:E87)</f>
        <v>0</v>
      </c>
      <c r="E88" s="586"/>
      <c r="F88" s="1"/>
      <c r="G88" s="1"/>
      <c r="H88" s="1"/>
      <c r="I88" s="2"/>
      <c r="J88" s="3"/>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row>
    <row r="89" spans="1:37" ht="23.25" thickBot="1" x14ac:dyDescent="0.6">
      <c r="A89" s="1"/>
      <c r="B89" s="1"/>
      <c r="C89" s="1"/>
      <c r="D89" s="1"/>
      <c r="E89" s="1"/>
      <c r="F89" s="1"/>
      <c r="G89" s="1"/>
      <c r="H89" s="1"/>
      <c r="I89" s="2"/>
      <c r="J89" s="3"/>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row>
    <row r="90" spans="1:37" x14ac:dyDescent="0.55000000000000004">
      <c r="A90" s="1"/>
      <c r="B90" s="1"/>
      <c r="C90" s="91" t="s">
        <v>12</v>
      </c>
      <c r="D90" s="204">
        <f>SUM('حکم کارگزینی'!E6,'حکم کارگزینی'!E8,'حکم کارگزینی'!E13,'حکم کارگزینی'!E17)*'ورود اطلاعات'!D8%</f>
        <v>3252929.4</v>
      </c>
      <c r="E90" s="1">
        <f>SUM(I2:I4,I7,I12,I16)*'ورود اطلاعات'!D8%</f>
        <v>3068289</v>
      </c>
      <c r="F90" s="1"/>
      <c r="G90" s="1"/>
      <c r="H90" s="1"/>
      <c r="I90" s="2"/>
      <c r="J90" s="3"/>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row>
    <row r="91" spans="1:37" x14ac:dyDescent="0.55000000000000004">
      <c r="A91" s="1"/>
      <c r="B91" s="1"/>
      <c r="C91" s="94" t="s">
        <v>263</v>
      </c>
      <c r="D91" s="205">
        <v>0</v>
      </c>
      <c r="E91" s="1">
        <v>0</v>
      </c>
      <c r="F91" s="1"/>
      <c r="G91" s="1"/>
      <c r="H91" s="1"/>
      <c r="I91" s="2"/>
      <c r="J91" s="3"/>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row>
    <row r="92" spans="1:37" ht="23.25" thickBot="1" x14ac:dyDescent="0.6">
      <c r="A92" s="1"/>
      <c r="B92" s="1"/>
      <c r="C92" s="203" t="s">
        <v>264</v>
      </c>
      <c r="D92" s="116">
        <f>IF(F2='ورود اطلاعات'!B5,D90,D91)</f>
        <v>3252929.4</v>
      </c>
      <c r="E92" s="1">
        <f>IF(F1='ورود اطلاعات'!B5,E91,E90)</f>
        <v>3068289</v>
      </c>
      <c r="F92" s="1"/>
      <c r="G92" s="1"/>
      <c r="H92" s="1"/>
      <c r="I92" s="2"/>
      <c r="J92" s="3"/>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row>
    <row r="93" spans="1:37" x14ac:dyDescent="0.55000000000000004">
      <c r="A93" s="1"/>
      <c r="B93" s="1"/>
      <c r="C93" s="1"/>
      <c r="D93" s="1"/>
      <c r="E93" s="1"/>
      <c r="F93" s="1"/>
      <c r="G93" s="1"/>
      <c r="H93" s="1"/>
      <c r="I93" s="2"/>
      <c r="J93" s="3"/>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row>
    <row r="94" spans="1:37" x14ac:dyDescent="0.55000000000000004">
      <c r="A94" s="1"/>
      <c r="B94" s="1"/>
      <c r="C94" s="1"/>
      <c r="D94" s="1"/>
      <c r="E94" s="1"/>
      <c r="F94" s="1"/>
      <c r="G94" s="1"/>
      <c r="H94" s="1"/>
      <c r="I94" s="2"/>
      <c r="J94" s="3"/>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row>
    <row r="95" spans="1:37" x14ac:dyDescent="0.55000000000000004">
      <c r="A95" s="1"/>
      <c r="B95" s="1"/>
      <c r="C95" s="1"/>
      <c r="D95" s="1"/>
      <c r="E95" s="1"/>
      <c r="F95" s="1"/>
      <c r="G95" s="1"/>
      <c r="H95" s="1"/>
      <c r="I95" s="2"/>
      <c r="J95" s="3"/>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row>
    <row r="96" spans="1:37" x14ac:dyDescent="0.55000000000000004">
      <c r="A96" s="1"/>
      <c r="B96" s="1"/>
      <c r="C96" s="1"/>
      <c r="D96" s="1"/>
      <c r="E96" s="1"/>
      <c r="F96" s="1"/>
      <c r="G96" s="1"/>
      <c r="H96" s="1"/>
      <c r="I96" s="2"/>
      <c r="J96" s="3"/>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row>
    <row r="97" spans="1:37" x14ac:dyDescent="0.55000000000000004">
      <c r="A97" s="1"/>
      <c r="B97" s="1" t="s">
        <v>293</v>
      </c>
      <c r="C97" s="1" t="s">
        <v>295</v>
      </c>
      <c r="D97" s="1"/>
      <c r="E97" s="1"/>
      <c r="F97" s="1"/>
      <c r="G97" s="1"/>
      <c r="H97" s="1"/>
      <c r="I97" s="2"/>
      <c r="J97" s="3"/>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row>
    <row r="98" spans="1:37" x14ac:dyDescent="0.55000000000000004">
      <c r="A98" s="1"/>
      <c r="B98" s="1"/>
      <c r="C98" s="1" t="s">
        <v>296</v>
      </c>
      <c r="D98" s="1"/>
      <c r="E98" s="1"/>
      <c r="F98" s="1"/>
      <c r="G98" s="1"/>
      <c r="H98" s="1"/>
      <c r="I98" s="2"/>
      <c r="J98" s="3"/>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row>
    <row r="99" spans="1:37" x14ac:dyDescent="0.55000000000000004">
      <c r="A99" s="1"/>
      <c r="B99" s="1"/>
      <c r="C99" s="1" t="s">
        <v>294</v>
      </c>
      <c r="D99" s="1"/>
      <c r="E99" s="1"/>
      <c r="F99" s="1"/>
      <c r="G99" s="1"/>
      <c r="H99" s="1"/>
      <c r="I99" s="2"/>
      <c r="J99" s="3"/>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row>
    <row r="100" spans="1:37" x14ac:dyDescent="0.55000000000000004">
      <c r="A100" s="1"/>
      <c r="B100" s="1"/>
      <c r="C100" s="1" t="s">
        <v>297</v>
      </c>
      <c r="D100" s="1"/>
      <c r="E100" s="1"/>
      <c r="F100" s="1"/>
      <c r="G100" s="1"/>
      <c r="H100" s="1"/>
      <c r="I100" s="2"/>
      <c r="J100" s="3"/>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row>
    <row r="101" spans="1:37" x14ac:dyDescent="0.55000000000000004">
      <c r="A101" s="1"/>
      <c r="B101" s="1"/>
      <c r="C101" s="1" t="s">
        <v>311</v>
      </c>
      <c r="D101" s="1"/>
      <c r="E101" s="1"/>
      <c r="F101" s="1"/>
      <c r="G101" s="1"/>
      <c r="H101" s="1"/>
      <c r="I101" s="2"/>
      <c r="J101" s="3"/>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row>
    <row r="102" spans="1:37" x14ac:dyDescent="0.55000000000000004">
      <c r="A102" s="1"/>
      <c r="B102" s="1"/>
      <c r="C102" s="1"/>
      <c r="D102" s="1"/>
      <c r="E102" s="1"/>
      <c r="F102" s="1"/>
      <c r="G102" s="1"/>
      <c r="H102" s="1"/>
      <c r="I102" s="2"/>
      <c r="J102" s="3"/>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row>
    <row r="103" spans="1:37" x14ac:dyDescent="0.55000000000000004">
      <c r="A103" s="1"/>
      <c r="B103" s="1"/>
      <c r="C103" s="1"/>
      <c r="D103" s="1"/>
      <c r="E103" s="1"/>
      <c r="F103" s="1"/>
      <c r="G103" s="1"/>
      <c r="H103" s="1"/>
      <c r="I103" s="2"/>
      <c r="J103" s="3"/>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row>
    <row r="104" spans="1:37" ht="23.25" thickBot="1" x14ac:dyDescent="0.6">
      <c r="A104" s="1"/>
      <c r="B104" s="1"/>
      <c r="C104" s="1"/>
      <c r="D104" s="1"/>
      <c r="E104" s="1"/>
      <c r="F104" s="1"/>
      <c r="G104" s="1"/>
      <c r="H104" s="1"/>
      <c r="I104" s="2"/>
      <c r="J104" s="3"/>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row>
    <row r="105" spans="1:37" x14ac:dyDescent="0.55000000000000004">
      <c r="A105" s="1"/>
      <c r="B105" s="1"/>
      <c r="C105" s="572" t="s">
        <v>271</v>
      </c>
      <c r="D105" s="573"/>
      <c r="E105" s="573"/>
      <c r="F105" s="574"/>
      <c r="G105" s="1"/>
      <c r="H105" s="1"/>
      <c r="I105" s="2"/>
      <c r="J105" s="3"/>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row>
    <row r="106" spans="1:37" ht="23.25" customHeight="1" x14ac:dyDescent="0.55000000000000004">
      <c r="A106" s="1"/>
      <c r="B106" s="1"/>
      <c r="C106" s="575" t="s">
        <v>272</v>
      </c>
      <c r="D106" s="576"/>
      <c r="E106" s="576"/>
      <c r="F106" s="577"/>
      <c r="G106" s="1"/>
      <c r="H106" s="1"/>
      <c r="I106" s="2"/>
      <c r="J106" s="3"/>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row>
    <row r="107" spans="1:37" ht="23.25" customHeight="1" thickBot="1" x14ac:dyDescent="0.6">
      <c r="A107" s="1"/>
      <c r="B107" s="1"/>
      <c r="C107" s="578" t="s">
        <v>273</v>
      </c>
      <c r="D107" s="579"/>
      <c r="E107" s="579"/>
      <c r="F107" s="580"/>
      <c r="G107" s="1"/>
      <c r="H107" s="1"/>
      <c r="I107" s="2"/>
      <c r="J107" s="3"/>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row>
    <row r="108" spans="1:37" ht="23.25" thickBot="1" x14ac:dyDescent="0.6">
      <c r="A108" s="1"/>
      <c r="B108" s="1"/>
      <c r="C108" s="1"/>
      <c r="D108" s="1"/>
      <c r="E108" s="1"/>
      <c r="F108" s="1"/>
      <c r="G108" s="1"/>
      <c r="H108" s="1"/>
      <c r="I108" s="2"/>
      <c r="J108" s="3"/>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row>
    <row r="109" spans="1:37" ht="27.75" thickBot="1" x14ac:dyDescent="0.6">
      <c r="A109" s="1"/>
      <c r="B109" s="526" t="s">
        <v>316</v>
      </c>
      <c r="C109" s="527"/>
      <c r="D109" s="527"/>
      <c r="E109" s="527"/>
      <c r="F109" s="527"/>
      <c r="G109" s="527"/>
      <c r="H109" s="528"/>
      <c r="I109" s="2"/>
      <c r="J109" s="3"/>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row>
    <row r="110" spans="1:37" ht="23.25" thickBot="1" x14ac:dyDescent="0.6">
      <c r="A110" s="1"/>
      <c r="B110" s="310" t="s">
        <v>317</v>
      </c>
      <c r="C110" s="311" t="s">
        <v>1</v>
      </c>
      <c r="D110" s="311" t="s">
        <v>130</v>
      </c>
      <c r="E110" s="311" t="s">
        <v>1</v>
      </c>
      <c r="F110" s="311" t="s">
        <v>318</v>
      </c>
      <c r="G110" s="311" t="s">
        <v>1</v>
      </c>
      <c r="H110" s="312" t="s">
        <v>319</v>
      </c>
      <c r="I110" s="2"/>
      <c r="J110" s="3"/>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row>
    <row r="111" spans="1:37" x14ac:dyDescent="0.55000000000000004">
      <c r="A111" s="1"/>
      <c r="B111" s="308">
        <v>0</v>
      </c>
      <c r="C111" s="247">
        <f>IF(B111='ورود اطلاعات'!D9,0,0)</f>
        <v>0</v>
      </c>
      <c r="D111" s="308">
        <v>0</v>
      </c>
      <c r="E111" s="247">
        <f>IF(D111='ورود اطلاعات'!D10,0,0)</f>
        <v>0</v>
      </c>
      <c r="F111" s="309">
        <v>0</v>
      </c>
      <c r="G111" s="247">
        <f>IF(F111='ورود اطلاعات'!D11,0,0)</f>
        <v>0</v>
      </c>
      <c r="H111" s="316">
        <v>0</v>
      </c>
      <c r="I111" s="2"/>
      <c r="J111" s="3"/>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row>
    <row r="112" spans="1:37" x14ac:dyDescent="0.55000000000000004">
      <c r="A112" s="1"/>
      <c r="B112" s="295" t="s">
        <v>132</v>
      </c>
      <c r="C112" s="58">
        <f>IF(B112='ورود اطلاعات'!D9,H112,0)</f>
        <v>0</v>
      </c>
      <c r="D112" s="295" t="s">
        <v>305</v>
      </c>
      <c r="E112" s="58">
        <f>IF(D112='ورود اطلاعات'!D10,H112,0)</f>
        <v>0</v>
      </c>
      <c r="F112" s="295" t="s">
        <v>133</v>
      </c>
      <c r="G112" s="58">
        <f>IF(F112='ورود اطلاعات'!D11,H112,0)</f>
        <v>0</v>
      </c>
      <c r="H112" s="297">
        <v>400</v>
      </c>
      <c r="I112" s="2"/>
      <c r="J112" s="3"/>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row>
    <row r="113" spans="1:37" x14ac:dyDescent="0.55000000000000004">
      <c r="A113" s="1"/>
      <c r="B113" s="295" t="s">
        <v>134</v>
      </c>
      <c r="C113" s="58">
        <f>IF(B113='ورود اطلاعات'!D9,H113,0)</f>
        <v>0</v>
      </c>
      <c r="D113" s="295" t="s">
        <v>135</v>
      </c>
      <c r="E113" s="58">
        <f>IF(D113='ورود اطلاعات'!D10,H113,0)</f>
        <v>0</v>
      </c>
      <c r="F113" s="295" t="s">
        <v>135</v>
      </c>
      <c r="G113" s="58">
        <f>IF(F113='ورود اطلاعات'!D11,H113,0)</f>
        <v>0</v>
      </c>
      <c r="H113" s="297">
        <v>500</v>
      </c>
      <c r="I113" s="2"/>
      <c r="J113" s="3"/>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row>
    <row r="114" spans="1:37" x14ac:dyDescent="0.55000000000000004">
      <c r="A114" s="1"/>
      <c r="B114" s="295" t="s">
        <v>136</v>
      </c>
      <c r="C114" s="58">
        <f>IF(B114='ورود اطلاعات'!D9,H114,0)</f>
        <v>0</v>
      </c>
      <c r="D114" s="295" t="s">
        <v>137</v>
      </c>
      <c r="E114" s="58">
        <f>IF(D114='ورود اطلاعات'!D10,H114,0)</f>
        <v>0</v>
      </c>
      <c r="F114" s="295" t="s">
        <v>137</v>
      </c>
      <c r="G114" s="58">
        <f>IF(F114='ورود اطلاعات'!D11,H114,0)</f>
        <v>0</v>
      </c>
      <c r="H114" s="297">
        <v>600</v>
      </c>
      <c r="I114" s="2"/>
      <c r="J114" s="3"/>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row>
    <row r="115" spans="1:37" x14ac:dyDescent="0.55000000000000004">
      <c r="A115" s="1"/>
      <c r="B115" s="295" t="s">
        <v>138</v>
      </c>
      <c r="C115" s="58">
        <f>IF(B115='ورود اطلاعات'!D9,H115,0)</f>
        <v>0</v>
      </c>
      <c r="D115" s="295" t="s">
        <v>139</v>
      </c>
      <c r="E115" s="58">
        <f>IF(D115='ورود اطلاعات'!D10,H115,0)</f>
        <v>0</v>
      </c>
      <c r="F115" s="295" t="s">
        <v>139</v>
      </c>
      <c r="G115" s="58">
        <f>IF(F115='ورود اطلاعات'!D11,H115,0)</f>
        <v>0</v>
      </c>
      <c r="H115" s="297">
        <v>700</v>
      </c>
      <c r="I115" s="2"/>
      <c r="J115" s="3"/>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row>
    <row r="116" spans="1:37" x14ac:dyDescent="0.55000000000000004">
      <c r="A116" s="1"/>
      <c r="B116" s="295" t="s">
        <v>140</v>
      </c>
      <c r="C116" s="58">
        <f>IF(B116='ورود اطلاعات'!D9,H116,0)</f>
        <v>0</v>
      </c>
      <c r="D116" s="295" t="s">
        <v>141</v>
      </c>
      <c r="E116" s="58">
        <f>IF(D116='ورود اطلاعات'!D10,H116,0)</f>
        <v>0</v>
      </c>
      <c r="F116" s="295" t="s">
        <v>141</v>
      </c>
      <c r="G116" s="58">
        <f>IF(F116='ورود اطلاعات'!D11,H116,0)</f>
        <v>0</v>
      </c>
      <c r="H116" s="297">
        <v>800</v>
      </c>
      <c r="I116" s="2"/>
      <c r="J116" s="3"/>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row>
    <row r="117" spans="1:37" x14ac:dyDescent="0.55000000000000004">
      <c r="A117" s="1"/>
      <c r="B117" s="295" t="s">
        <v>142</v>
      </c>
      <c r="C117" s="58">
        <f>IF(B117='ورود اطلاعات'!D9,H117,0)</f>
        <v>0</v>
      </c>
      <c r="D117" s="295" t="s">
        <v>143</v>
      </c>
      <c r="E117" s="58">
        <f>IF(D117='ورود اطلاعات'!D10,H117,0)</f>
        <v>0</v>
      </c>
      <c r="F117" s="295" t="s">
        <v>143</v>
      </c>
      <c r="G117" s="58">
        <f>IF(F117='ورود اطلاعات'!D11,H117,0)</f>
        <v>0</v>
      </c>
      <c r="H117" s="297">
        <v>900</v>
      </c>
      <c r="I117" s="2"/>
      <c r="J117" s="3"/>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row>
    <row r="118" spans="1:37" x14ac:dyDescent="0.55000000000000004">
      <c r="A118" s="1"/>
      <c r="B118" s="295" t="s">
        <v>144</v>
      </c>
      <c r="C118" s="58">
        <f>IF(B118='ورود اطلاعات'!D9,H118,0)</f>
        <v>0</v>
      </c>
      <c r="D118" s="295" t="s">
        <v>145</v>
      </c>
      <c r="E118" s="58">
        <f>IF(D118='ورود اطلاعات'!D10,H118,0)</f>
        <v>0</v>
      </c>
      <c r="F118" s="295" t="s">
        <v>145</v>
      </c>
      <c r="G118" s="58">
        <f>IF(F118='ورود اطلاعات'!D11,H118,0)</f>
        <v>0</v>
      </c>
      <c r="H118" s="297">
        <v>1000</v>
      </c>
      <c r="I118" s="2"/>
      <c r="J118" s="3"/>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row>
    <row r="119" spans="1:37" x14ac:dyDescent="0.55000000000000004">
      <c r="A119" s="1"/>
      <c r="B119" s="295" t="s">
        <v>146</v>
      </c>
      <c r="C119" s="58">
        <f>IF(B119='ورود اطلاعات'!D9,H119,0)</f>
        <v>0</v>
      </c>
      <c r="D119" s="295" t="s">
        <v>147</v>
      </c>
      <c r="E119" s="58">
        <f>IF(D119='ورود اطلاعات'!D10,H119,0)</f>
        <v>0</v>
      </c>
      <c r="F119" s="295" t="s">
        <v>147</v>
      </c>
      <c r="G119" s="58">
        <f>IF(F119='ورود اطلاعات'!D11,H119,0)</f>
        <v>0</v>
      </c>
      <c r="H119" s="297">
        <v>1100</v>
      </c>
      <c r="I119" s="2"/>
      <c r="J119" s="3"/>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row>
    <row r="120" spans="1:37" x14ac:dyDescent="0.55000000000000004">
      <c r="A120" s="1"/>
      <c r="B120" s="295" t="s">
        <v>148</v>
      </c>
      <c r="C120" s="58">
        <f>IF(B120='ورود اطلاعات'!D9,H120,0)</f>
        <v>0</v>
      </c>
      <c r="D120" s="295" t="s">
        <v>149</v>
      </c>
      <c r="E120" s="58">
        <f>IF(D120='ورود اطلاعات'!D10,H120,0)</f>
        <v>0</v>
      </c>
      <c r="F120" s="295" t="s">
        <v>149</v>
      </c>
      <c r="G120" s="58">
        <f>IF(F120='ورود اطلاعات'!D11,H120,0)</f>
        <v>0</v>
      </c>
      <c r="H120" s="297">
        <v>1200</v>
      </c>
      <c r="I120" s="2"/>
      <c r="J120" s="3"/>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row>
    <row r="121" spans="1:37" x14ac:dyDescent="0.55000000000000004">
      <c r="A121" s="1"/>
      <c r="B121" s="295" t="s">
        <v>150</v>
      </c>
      <c r="C121" s="58">
        <f>IF(B121='ورود اطلاعات'!D9,H121,0)</f>
        <v>0</v>
      </c>
      <c r="D121" s="295" t="s">
        <v>151</v>
      </c>
      <c r="E121" s="58">
        <f>IF(D121='ورود اطلاعات'!D10,H121,0)</f>
        <v>0</v>
      </c>
      <c r="F121" s="295" t="s">
        <v>151</v>
      </c>
      <c r="G121" s="58">
        <f>IF(F121='ورود اطلاعات'!D11,H121,0)</f>
        <v>0</v>
      </c>
      <c r="H121" s="297">
        <v>1300</v>
      </c>
      <c r="I121" s="2"/>
      <c r="J121" s="3"/>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row>
    <row r="122" spans="1:37" x14ac:dyDescent="0.55000000000000004">
      <c r="A122" s="1"/>
      <c r="B122" s="295" t="s">
        <v>152</v>
      </c>
      <c r="C122" s="58">
        <f>IF(B122='ورود اطلاعات'!D9,H122,0)</f>
        <v>0</v>
      </c>
      <c r="D122" s="295" t="s">
        <v>153</v>
      </c>
      <c r="E122" s="58">
        <f>IF(D122='ورود اطلاعات'!D10,H122,0)</f>
        <v>0</v>
      </c>
      <c r="F122" s="295" t="s">
        <v>153</v>
      </c>
      <c r="G122" s="58">
        <f>IF(F122='ورود اطلاعات'!D11,H122,0)</f>
        <v>0</v>
      </c>
      <c r="H122" s="297">
        <v>1500</v>
      </c>
      <c r="I122" s="2"/>
      <c r="J122" s="3"/>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row>
    <row r="123" spans="1:37" ht="23.25" thickBot="1" x14ac:dyDescent="0.6">
      <c r="A123" s="1"/>
      <c r="B123" s="296" t="s">
        <v>154</v>
      </c>
      <c r="C123" s="52">
        <f>IF(B123='ورود اطلاعات'!D9,H123,0)</f>
        <v>0</v>
      </c>
      <c r="D123" s="296" t="s">
        <v>155</v>
      </c>
      <c r="E123" s="52">
        <f>IF(D123='ورود اطلاعات'!D10,H123,0)</f>
        <v>0</v>
      </c>
      <c r="F123" s="296" t="s">
        <v>155</v>
      </c>
      <c r="G123" s="52">
        <f>IF(F123='ورود اطلاعات'!D11,H123,0)</f>
        <v>0</v>
      </c>
      <c r="H123" s="298">
        <v>1550</v>
      </c>
      <c r="I123" s="2"/>
      <c r="J123" s="3"/>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row>
    <row r="124" spans="1:37" ht="23.25" thickBot="1" x14ac:dyDescent="0.6">
      <c r="A124" s="1"/>
      <c r="B124" s="305" t="s">
        <v>306</v>
      </c>
      <c r="C124" s="307">
        <f>SUM(C112:C123)</f>
        <v>0</v>
      </c>
      <c r="D124" s="305" t="s">
        <v>307</v>
      </c>
      <c r="E124" s="307">
        <f>SUM(E111:E123)</f>
        <v>0</v>
      </c>
      <c r="F124" s="306" t="s">
        <v>308</v>
      </c>
      <c r="G124" s="307">
        <f>SUM(G111:G123)</f>
        <v>0</v>
      </c>
      <c r="H124" s="299"/>
      <c r="I124" s="2"/>
      <c r="J124" s="3"/>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row>
    <row r="125" spans="1:37" ht="23.25" thickBot="1" x14ac:dyDescent="0.6">
      <c r="A125" s="1"/>
      <c r="B125" s="533" t="s">
        <v>309</v>
      </c>
      <c r="C125" s="534"/>
      <c r="D125" s="534"/>
      <c r="E125" s="307">
        <f>IF(محاسبات!D2='ورود اطلاعات'!D15,1500,0)</f>
        <v>0</v>
      </c>
      <c r="F125" s="529" t="s">
        <v>310</v>
      </c>
      <c r="G125" s="530"/>
      <c r="H125" s="300">
        <f>G124+E124+C124+E125</f>
        <v>0</v>
      </c>
      <c r="I125" s="2"/>
      <c r="J125" s="3"/>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row>
    <row r="126" spans="1:37" ht="23.25" thickBot="1" x14ac:dyDescent="0.6">
      <c r="A126" s="1"/>
      <c r="B126" s="301"/>
      <c r="C126" s="302"/>
      <c r="D126" s="302"/>
      <c r="E126" s="302"/>
      <c r="F126" s="302"/>
      <c r="G126" s="302"/>
      <c r="H126" s="303"/>
      <c r="I126" s="2"/>
      <c r="J126" s="3"/>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row>
    <row r="127" spans="1:37" ht="23.25" thickBot="1" x14ac:dyDescent="0.6">
      <c r="A127" s="1"/>
      <c r="B127" s="301"/>
      <c r="C127" s="302"/>
      <c r="D127" s="531" t="s">
        <v>304</v>
      </c>
      <c r="E127" s="532"/>
      <c r="F127" s="56">
        <f>IF(H125&gt;1500,1500,H125)</f>
        <v>0</v>
      </c>
      <c r="G127" s="302"/>
      <c r="H127" s="303"/>
      <c r="I127" s="2"/>
      <c r="J127" s="3"/>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row>
    <row r="128" spans="1:37" ht="23.25" thickBot="1" x14ac:dyDescent="0.6">
      <c r="A128" s="1"/>
      <c r="B128" s="301"/>
      <c r="C128" s="302"/>
      <c r="D128" s="302"/>
      <c r="E128" s="302"/>
      <c r="F128" s="302"/>
      <c r="G128" s="302"/>
      <c r="H128" s="303"/>
      <c r="I128" s="2"/>
      <c r="J128" s="3"/>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row>
    <row r="129" spans="1:37" x14ac:dyDescent="0.55000000000000004">
      <c r="A129" s="1"/>
      <c r="B129" s="539">
        <f>IF(H125&gt;1500,محاسبات!B97,محاسبات!B96)</f>
        <v>0</v>
      </c>
      <c r="C129" s="535">
        <f>IF(H125&gt;1500,محاسبات!C101,محاسبات!B96)</f>
        <v>0</v>
      </c>
      <c r="D129" s="535"/>
      <c r="E129" s="535"/>
      <c r="F129" s="535"/>
      <c r="G129" s="535"/>
      <c r="H129" s="536"/>
      <c r="I129" s="2"/>
      <c r="J129" s="3"/>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row>
    <row r="130" spans="1:37" ht="23.25" thickBot="1" x14ac:dyDescent="0.6">
      <c r="A130" s="1"/>
      <c r="B130" s="540"/>
      <c r="C130" s="537"/>
      <c r="D130" s="537"/>
      <c r="E130" s="537"/>
      <c r="F130" s="537"/>
      <c r="G130" s="537"/>
      <c r="H130" s="538"/>
      <c r="I130" s="2"/>
      <c r="J130" s="3"/>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row>
    <row r="131" spans="1:37" x14ac:dyDescent="0.55000000000000004">
      <c r="A131" s="1"/>
      <c r="B131" s="1"/>
      <c r="C131" s="1"/>
      <c r="D131" s="1"/>
      <c r="E131" s="1"/>
      <c r="F131" s="1"/>
      <c r="G131" s="1"/>
      <c r="H131" s="1"/>
      <c r="I131" s="2"/>
      <c r="J131" s="3"/>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row>
    <row r="132" spans="1:37" x14ac:dyDescent="0.55000000000000004">
      <c r="A132" s="1"/>
      <c r="B132" s="1"/>
      <c r="C132" s="1"/>
      <c r="D132" s="1"/>
      <c r="E132" s="1"/>
      <c r="F132" s="1"/>
      <c r="G132" s="1"/>
      <c r="H132" s="1"/>
      <c r="I132" s="2"/>
      <c r="J132" s="3"/>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row>
    <row r="133" spans="1:37" ht="23.25" thickBot="1" x14ac:dyDescent="0.6">
      <c r="A133" s="1"/>
      <c r="B133" s="1"/>
      <c r="C133" s="1"/>
      <c r="D133" s="1"/>
      <c r="E133" s="1"/>
      <c r="F133" s="1"/>
      <c r="G133" s="1"/>
      <c r="H133" s="1"/>
      <c r="I133" s="2"/>
      <c r="J133" s="3"/>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row>
    <row r="134" spans="1:37" x14ac:dyDescent="0.55000000000000004">
      <c r="A134" s="1"/>
      <c r="B134" s="1"/>
      <c r="C134" s="514" t="s">
        <v>384</v>
      </c>
      <c r="D134" s="515"/>
      <c r="E134" s="515"/>
      <c r="F134" s="515"/>
      <c r="G134" s="516"/>
      <c r="H134" s="1"/>
      <c r="I134" s="2"/>
      <c r="J134" s="3"/>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row>
    <row r="135" spans="1:37" ht="23.25" thickBot="1" x14ac:dyDescent="0.6">
      <c r="A135" s="1"/>
      <c r="B135" s="1"/>
      <c r="C135" s="517"/>
      <c r="D135" s="518"/>
      <c r="E135" s="518"/>
      <c r="F135" s="518"/>
      <c r="G135" s="519"/>
      <c r="H135" s="1"/>
      <c r="I135" s="2"/>
      <c r="J135" s="3"/>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row>
    <row r="136" spans="1:37" ht="23.25" thickBot="1" x14ac:dyDescent="0.6">
      <c r="A136" s="1"/>
      <c r="B136" s="1"/>
      <c r="C136" s="1"/>
      <c r="D136" s="1"/>
      <c r="E136" s="1"/>
      <c r="F136" s="1"/>
      <c r="G136" s="1"/>
      <c r="H136" s="1"/>
      <c r="I136" s="2"/>
      <c r="J136" s="3"/>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row>
    <row r="137" spans="1:37" x14ac:dyDescent="0.55000000000000004">
      <c r="A137" s="1"/>
      <c r="B137" s="1"/>
      <c r="C137" s="514" t="s">
        <v>386</v>
      </c>
      <c r="D137" s="515"/>
      <c r="E137" s="515"/>
      <c r="F137" s="515"/>
      <c r="G137" s="516"/>
      <c r="H137" s="1"/>
      <c r="I137" s="2"/>
      <c r="J137" s="3"/>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row>
    <row r="138" spans="1:37" ht="23.25" thickBot="1" x14ac:dyDescent="0.6">
      <c r="A138" s="1"/>
      <c r="B138" s="1"/>
      <c r="C138" s="517"/>
      <c r="D138" s="518"/>
      <c r="E138" s="518"/>
      <c r="F138" s="518"/>
      <c r="G138" s="519"/>
      <c r="H138" s="1"/>
      <c r="I138" s="2"/>
      <c r="J138" s="3"/>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row>
    <row r="139" spans="1:37" x14ac:dyDescent="0.55000000000000004">
      <c r="A139" s="1"/>
      <c r="B139" s="1"/>
      <c r="C139" s="1"/>
      <c r="D139" s="1"/>
      <c r="E139" s="1"/>
      <c r="F139" s="1"/>
      <c r="G139" s="1"/>
      <c r="H139" s="1"/>
      <c r="I139" s="2"/>
      <c r="J139" s="3"/>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row>
    <row r="140" spans="1:37" x14ac:dyDescent="0.55000000000000004">
      <c r="A140" s="1"/>
      <c r="B140" s="1"/>
      <c r="C140" s="1"/>
      <c r="D140" s="1"/>
      <c r="E140" s="1"/>
      <c r="F140" s="1"/>
      <c r="G140" s="1"/>
      <c r="H140" s="1"/>
      <c r="I140" s="2"/>
      <c r="J140" s="3"/>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row>
  </sheetData>
  <mergeCells count="36">
    <mergeCell ref="O26:Q26"/>
    <mergeCell ref="C48:D48"/>
    <mergeCell ref="C105:F105"/>
    <mergeCell ref="C106:F106"/>
    <mergeCell ref="C107:F107"/>
    <mergeCell ref="C57:D57"/>
    <mergeCell ref="C58:D58"/>
    <mergeCell ref="D88:E88"/>
    <mergeCell ref="C65:D65"/>
    <mergeCell ref="A3:B3"/>
    <mergeCell ref="AH29:AI29"/>
    <mergeCell ref="K25:L25"/>
    <mergeCell ref="K24:L24"/>
    <mergeCell ref="N10:O10"/>
    <mergeCell ref="Q10:R10"/>
    <mergeCell ref="Q11:R11"/>
    <mergeCell ref="Q12:R12"/>
    <mergeCell ref="Q13:R13"/>
    <mergeCell ref="N11:O11"/>
    <mergeCell ref="A22:B22"/>
    <mergeCell ref="D17:E17"/>
    <mergeCell ref="O18:R18"/>
    <mergeCell ref="P23:Q23"/>
    <mergeCell ref="K23:L23"/>
    <mergeCell ref="O25:Q25"/>
    <mergeCell ref="C134:G135"/>
    <mergeCell ref="C137:G138"/>
    <mergeCell ref="C53:D53"/>
    <mergeCell ref="C63:D63"/>
    <mergeCell ref="C64:D64"/>
    <mergeCell ref="B109:H109"/>
    <mergeCell ref="F125:G125"/>
    <mergeCell ref="D127:E127"/>
    <mergeCell ref="B125:D125"/>
    <mergeCell ref="C129:H130"/>
    <mergeCell ref="B129:B130"/>
  </mergeCells>
  <dataValidations count="1">
    <dataValidation type="list" allowBlank="1" showInputMessage="1" showErrorMessage="1" sqref="B33">
      <formula1>$F$1:$F$2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C31"/>
  <sheetViews>
    <sheetView rightToLeft="1" zoomScaleNormal="100" workbookViewId="0">
      <selection activeCell="B7" sqref="B7"/>
    </sheetView>
  </sheetViews>
  <sheetFormatPr defaultColWidth="9" defaultRowHeight="15" x14ac:dyDescent="0.25"/>
  <cols>
    <col min="1" max="1" width="9" style="410"/>
    <col min="2" max="2" width="41.42578125" style="410" customWidth="1"/>
    <col min="3" max="3" width="28" style="410" customWidth="1"/>
    <col min="4" max="16384" width="9" style="410"/>
  </cols>
  <sheetData>
    <row r="1" spans="1:3" ht="15.75" thickBot="1" x14ac:dyDescent="0.3">
      <c r="A1" s="385"/>
      <c r="B1" s="385"/>
      <c r="C1" s="385"/>
    </row>
    <row r="2" spans="1:3" ht="28.5" thickBot="1" x14ac:dyDescent="0.3">
      <c r="A2" s="385"/>
      <c r="B2" s="593" t="s">
        <v>281</v>
      </c>
      <c r="C2" s="594"/>
    </row>
    <row r="3" spans="1:3" ht="22.5" x14ac:dyDescent="0.55000000000000004">
      <c r="A3" s="385"/>
      <c r="B3" s="589" t="s">
        <v>356</v>
      </c>
      <c r="C3" s="590"/>
    </row>
    <row r="4" spans="1:3" ht="23.25" thickBot="1" x14ac:dyDescent="0.6">
      <c r="A4" s="385"/>
      <c r="B4" s="591" t="s">
        <v>354</v>
      </c>
      <c r="C4" s="592"/>
    </row>
    <row r="5" spans="1:3" ht="22.5" x14ac:dyDescent="0.55000000000000004">
      <c r="A5" s="385"/>
      <c r="B5" s="227" t="s">
        <v>274</v>
      </c>
      <c r="C5" s="228">
        <v>10254750</v>
      </c>
    </row>
    <row r="6" spans="1:3" ht="22.5" x14ac:dyDescent="0.55000000000000004">
      <c r="A6" s="385"/>
      <c r="B6" s="229" t="s">
        <v>275</v>
      </c>
      <c r="C6" s="230">
        <v>3898500</v>
      </c>
    </row>
    <row r="7" spans="1:3" ht="22.5" x14ac:dyDescent="0.55000000000000004">
      <c r="A7" s="385"/>
      <c r="B7" s="229" t="s">
        <v>276</v>
      </c>
      <c r="C7" s="230">
        <v>5422729</v>
      </c>
    </row>
    <row r="8" spans="1:3" ht="23.25" thickBot="1" x14ac:dyDescent="0.6">
      <c r="A8" s="385"/>
      <c r="B8" s="231" t="s">
        <v>23</v>
      </c>
      <c r="C8" s="232">
        <v>1152600</v>
      </c>
    </row>
    <row r="9" spans="1:3" ht="23.25" thickBot="1" x14ac:dyDescent="0.6">
      <c r="A9" s="385"/>
      <c r="B9" s="233" t="s">
        <v>277</v>
      </c>
      <c r="C9" s="234">
        <v>2487429</v>
      </c>
    </row>
    <row r="10" spans="1:3" ht="23.25" thickBot="1" x14ac:dyDescent="0.6">
      <c r="A10" s="385"/>
      <c r="B10" s="235" t="s">
        <v>278</v>
      </c>
      <c r="C10" s="236">
        <v>1658286</v>
      </c>
    </row>
    <row r="11" spans="1:3" ht="23.25" thickBot="1" x14ac:dyDescent="0.6">
      <c r="A11" s="385"/>
      <c r="B11" s="237" t="s">
        <v>279</v>
      </c>
      <c r="C11" s="238">
        <f>C9/SUM(C5:C8)</f>
        <v>0.11999997684356463</v>
      </c>
    </row>
    <row r="12" spans="1:3" ht="23.25" thickBot="1" x14ac:dyDescent="0.6">
      <c r="A12" s="385"/>
      <c r="B12" s="239" t="s">
        <v>280</v>
      </c>
      <c r="C12" s="240">
        <f>C10/SUM(C5:C8)</f>
        <v>7.9999984562376419E-2</v>
      </c>
    </row>
    <row r="13" spans="1:3" ht="15.75" thickBot="1" x14ac:dyDescent="0.3">
      <c r="A13" s="385"/>
      <c r="B13" s="385"/>
      <c r="C13" s="385"/>
    </row>
    <row r="14" spans="1:3" ht="28.5" thickBot="1" x14ac:dyDescent="0.3">
      <c r="A14" s="385"/>
      <c r="B14" s="595" t="s">
        <v>286</v>
      </c>
      <c r="C14" s="596"/>
    </row>
    <row r="15" spans="1:3" ht="22.5" x14ac:dyDescent="0.55000000000000004">
      <c r="A15" s="385"/>
      <c r="B15" s="589" t="s">
        <v>356</v>
      </c>
      <c r="C15" s="590"/>
    </row>
    <row r="16" spans="1:3" ht="23.25" thickBot="1" x14ac:dyDescent="0.6">
      <c r="A16" s="385"/>
      <c r="B16" s="591" t="s">
        <v>355</v>
      </c>
      <c r="C16" s="592"/>
    </row>
    <row r="17" spans="1:3" ht="22.5" x14ac:dyDescent="0.55000000000000004">
      <c r="A17" s="385"/>
      <c r="B17" s="241" t="s">
        <v>274</v>
      </c>
      <c r="C17" s="228">
        <v>6441000</v>
      </c>
    </row>
    <row r="18" spans="1:3" ht="22.5" x14ac:dyDescent="0.55000000000000004">
      <c r="A18" s="385"/>
      <c r="B18" s="242" t="s">
        <v>275</v>
      </c>
      <c r="C18" s="230">
        <v>0</v>
      </c>
    </row>
    <row r="19" spans="1:3" ht="22.5" x14ac:dyDescent="0.55000000000000004">
      <c r="A19" s="385"/>
      <c r="B19" s="242" t="s">
        <v>276</v>
      </c>
      <c r="C19" s="230">
        <v>4830750</v>
      </c>
    </row>
    <row r="20" spans="1:3" ht="22.5" x14ac:dyDescent="0.55000000000000004">
      <c r="A20" s="385"/>
      <c r="B20" s="242" t="s">
        <v>282</v>
      </c>
      <c r="C20" s="230">
        <v>2542500</v>
      </c>
    </row>
    <row r="21" spans="1:3" ht="22.5" x14ac:dyDescent="0.55000000000000004">
      <c r="A21" s="385"/>
      <c r="B21" s="242" t="s">
        <v>283</v>
      </c>
      <c r="C21" s="230">
        <v>0</v>
      </c>
    </row>
    <row r="22" spans="1:3" ht="23.25" thickBot="1" x14ac:dyDescent="0.6">
      <c r="A22" s="385"/>
      <c r="B22" s="243" t="s">
        <v>363</v>
      </c>
      <c r="C22" s="232">
        <v>203400</v>
      </c>
    </row>
    <row r="23" spans="1:3" ht="23.25" thickBot="1" x14ac:dyDescent="0.6">
      <c r="A23" s="385"/>
      <c r="B23" s="244" t="s">
        <v>284</v>
      </c>
      <c r="C23" s="245">
        <v>2943707</v>
      </c>
    </row>
    <row r="24" spans="1:3" ht="23.25" thickBot="1" x14ac:dyDescent="0.6">
      <c r="A24" s="385"/>
      <c r="B24" s="246" t="s">
        <v>285</v>
      </c>
      <c r="C24" s="240">
        <f>C23/SUM(C17:C22)</f>
        <v>0.21000003566931691</v>
      </c>
    </row>
    <row r="25" spans="1:3" ht="15.75" thickBot="1" x14ac:dyDescent="0.3">
      <c r="A25" s="385"/>
      <c r="B25" s="385"/>
      <c r="C25" s="385"/>
    </row>
    <row r="26" spans="1:3" ht="28.5" thickBot="1" x14ac:dyDescent="0.3">
      <c r="A26" s="385"/>
      <c r="B26" s="597" t="s">
        <v>291</v>
      </c>
      <c r="C26" s="598"/>
    </row>
    <row r="27" spans="1:3" ht="22.5" x14ac:dyDescent="0.55000000000000004">
      <c r="A27" s="385"/>
      <c r="B27" s="589" t="s">
        <v>356</v>
      </c>
      <c r="C27" s="590"/>
    </row>
    <row r="28" spans="1:3" ht="23.25" thickBot="1" x14ac:dyDescent="0.6">
      <c r="A28" s="385"/>
      <c r="B28" s="591" t="s">
        <v>355</v>
      </c>
      <c r="C28" s="592"/>
    </row>
    <row r="29" spans="1:3" ht="22.5" x14ac:dyDescent="0.55000000000000004">
      <c r="A29" s="385"/>
      <c r="B29" s="241" t="s">
        <v>274</v>
      </c>
      <c r="C29" s="383">
        <v>10579520.890451521</v>
      </c>
    </row>
    <row r="30" spans="1:3" ht="23.25" thickBot="1" x14ac:dyDescent="0.6">
      <c r="A30" s="385"/>
      <c r="B30" s="244" t="s">
        <v>292</v>
      </c>
      <c r="C30" s="383">
        <v>2817696.0000000005</v>
      </c>
    </row>
    <row r="31" spans="1:3" ht="23.25" thickBot="1" x14ac:dyDescent="0.6">
      <c r="A31" s="385"/>
      <c r="B31" s="246" t="s">
        <v>285</v>
      </c>
      <c r="C31" s="240">
        <f>C30/C29</f>
        <v>0.26633493417864451</v>
      </c>
    </row>
  </sheetData>
  <sheetProtection algorithmName="SHA-512" hashValue="kLGF0ueesA6UwVdAQWcXi5f/5D3UOZKUuVAnXIyzBEeyP3fxE4MbsFtDlyZdQjJ0FONAbbnmml8KdcTYP5ANAQ==" saltValue="M+YW4LQ1WFYmNDepFCBpJA==" spinCount="100000" sheet="1" objects="1" scenarios="1"/>
  <mergeCells count="9">
    <mergeCell ref="B27:C27"/>
    <mergeCell ref="B28:C28"/>
    <mergeCell ref="B3:C3"/>
    <mergeCell ref="B4:C4"/>
    <mergeCell ref="B2:C2"/>
    <mergeCell ref="B14:C14"/>
    <mergeCell ref="B15:C15"/>
    <mergeCell ref="B16:C16"/>
    <mergeCell ref="B26:C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O25"/>
  <sheetViews>
    <sheetView rightToLeft="1" topLeftCell="C1" zoomScaleNormal="100" workbookViewId="0">
      <selection activeCell="F8" sqref="F8"/>
    </sheetView>
  </sheetViews>
  <sheetFormatPr defaultColWidth="9" defaultRowHeight="15" x14ac:dyDescent="0.25"/>
  <cols>
    <col min="1" max="1" width="9" style="411"/>
    <col min="2" max="2" width="12.28515625" style="411" customWidth="1"/>
    <col min="3" max="3" width="8" style="411" bestFit="1" customWidth="1"/>
    <col min="4" max="4" width="15.85546875" style="411" customWidth="1"/>
    <col min="5" max="5" width="10.42578125" style="411" bestFit="1" customWidth="1"/>
    <col min="6" max="6" width="8.42578125" style="411" customWidth="1"/>
    <col min="7" max="7" width="12.42578125" style="411" bestFit="1" customWidth="1"/>
    <col min="8" max="8" width="8.28515625" style="411" customWidth="1"/>
    <col min="9" max="9" width="9.5703125" style="411" bestFit="1" customWidth="1"/>
    <col min="10" max="10" width="9" style="411" customWidth="1"/>
    <col min="11" max="11" width="9" style="411"/>
    <col min="12" max="12" width="29.7109375" style="411" customWidth="1"/>
    <col min="13" max="13" width="16.140625" style="411" customWidth="1"/>
    <col min="14" max="14" width="15.42578125" style="411" customWidth="1"/>
    <col min="15" max="15" width="17.28515625" style="411" customWidth="1"/>
    <col min="16" max="16384" width="9" style="411"/>
  </cols>
  <sheetData>
    <row r="1" spans="1:15" ht="33" customHeight="1" thickBot="1" x14ac:dyDescent="0.3">
      <c r="A1"/>
      <c r="B1"/>
      <c r="C1"/>
      <c r="D1"/>
      <c r="E1"/>
      <c r="F1"/>
      <c r="G1"/>
      <c r="H1"/>
      <c r="I1"/>
      <c r="J1"/>
      <c r="K1"/>
      <c r="L1"/>
      <c r="M1"/>
      <c r="N1"/>
      <c r="O1"/>
    </row>
    <row r="2" spans="1:15" ht="27.75" thickBot="1" x14ac:dyDescent="0.3">
      <c r="A2"/>
      <c r="B2" s="607" t="s">
        <v>315</v>
      </c>
      <c r="C2" s="608"/>
      <c r="D2" s="608"/>
      <c r="E2" s="608"/>
      <c r="F2" s="608"/>
      <c r="G2" s="608"/>
      <c r="H2" s="608"/>
      <c r="I2" s="608"/>
      <c r="J2" s="609"/>
      <c r="K2"/>
      <c r="L2" s="526" t="s">
        <v>320</v>
      </c>
      <c r="M2" s="527"/>
      <c r="N2" s="527"/>
      <c r="O2" s="528"/>
    </row>
    <row r="3" spans="1:15" ht="19.5" thickBot="1" x14ac:dyDescent="0.3">
      <c r="A3"/>
      <c r="B3" s="615" t="s">
        <v>108</v>
      </c>
      <c r="C3" s="616"/>
      <c r="D3" s="311" t="s">
        <v>1</v>
      </c>
      <c r="E3" s="311" t="s">
        <v>109</v>
      </c>
      <c r="F3" s="311" t="s">
        <v>1</v>
      </c>
      <c r="G3" s="311" t="s">
        <v>110</v>
      </c>
      <c r="H3" s="311" t="s">
        <v>1</v>
      </c>
      <c r="I3" s="311" t="s">
        <v>111</v>
      </c>
      <c r="J3" s="312" t="s">
        <v>1</v>
      </c>
      <c r="K3"/>
      <c r="L3" s="310" t="s">
        <v>200</v>
      </c>
      <c r="M3" s="311" t="s">
        <v>206</v>
      </c>
      <c r="N3" s="311" t="s">
        <v>207</v>
      </c>
      <c r="O3" s="312" t="s">
        <v>208</v>
      </c>
    </row>
    <row r="4" spans="1:15" ht="22.5" x14ac:dyDescent="0.55000000000000004">
      <c r="A4"/>
      <c r="B4" s="21" t="s">
        <v>112</v>
      </c>
      <c r="C4" s="22">
        <v>1100</v>
      </c>
      <c r="D4" s="313">
        <f>IF(B4='ورود اطلاعات'!B9,C4,0)</f>
        <v>0</v>
      </c>
      <c r="E4" s="22">
        <v>200</v>
      </c>
      <c r="F4" s="313">
        <f>IF(B4='ورود اطلاعات'!B9,E4,0)</f>
        <v>0</v>
      </c>
      <c r="G4" s="23">
        <v>10</v>
      </c>
      <c r="H4" s="313">
        <f>IF(B4='ورود اطلاعات'!B9,G4,0)</f>
        <v>0</v>
      </c>
      <c r="I4" s="314">
        <v>8</v>
      </c>
      <c r="J4" s="315">
        <f>IF(B4='ورود اطلاعات'!B9,I4,0)</f>
        <v>0</v>
      </c>
      <c r="K4"/>
      <c r="L4" s="169" t="s">
        <v>332</v>
      </c>
      <c r="M4" s="101">
        <f>محاسبات!D76</f>
        <v>25378985.880228516</v>
      </c>
      <c r="N4" s="102">
        <v>0</v>
      </c>
      <c r="O4" s="103">
        <f>N4*M4</f>
        <v>0</v>
      </c>
    </row>
    <row r="5" spans="1:15" ht="22.5" x14ac:dyDescent="0.55000000000000004">
      <c r="A5"/>
      <c r="B5" s="326" t="s">
        <v>113</v>
      </c>
      <c r="C5" s="325">
        <v>1200</v>
      </c>
      <c r="D5" s="266">
        <f>IF(B5='ورود اطلاعات'!B9,C5,0)</f>
        <v>0</v>
      </c>
      <c r="E5" s="325">
        <v>250</v>
      </c>
      <c r="F5" s="266">
        <f>IF(B5='ورود اطلاعات'!B9,E5,0)</f>
        <v>0</v>
      </c>
      <c r="G5" s="10">
        <v>15</v>
      </c>
      <c r="H5" s="266">
        <f>IF(B5='ورود اطلاعات'!B9,G5,0)</f>
        <v>0</v>
      </c>
      <c r="I5" s="34">
        <v>10</v>
      </c>
      <c r="J5" s="272">
        <f>IF(B5='ورود اطلاعات'!B9,I5,0)</f>
        <v>0</v>
      </c>
      <c r="K5"/>
      <c r="L5" s="170" t="s">
        <v>202</v>
      </c>
      <c r="M5" s="118">
        <f>محاسبات!F77</f>
        <v>0</v>
      </c>
      <c r="N5" s="119">
        <v>0.1</v>
      </c>
      <c r="O5" s="120">
        <f>N5*M5</f>
        <v>0</v>
      </c>
    </row>
    <row r="6" spans="1:15" ht="22.5" x14ac:dyDescent="0.55000000000000004">
      <c r="A6"/>
      <c r="B6" s="326" t="s">
        <v>114</v>
      </c>
      <c r="C6" s="325">
        <v>1400</v>
      </c>
      <c r="D6" s="266">
        <f>IF(B6='ورود اطلاعات'!B9,C6,0)</f>
        <v>0</v>
      </c>
      <c r="E6" s="325">
        <v>300</v>
      </c>
      <c r="F6" s="266">
        <f>IF(B6='ورود اطلاعات'!B9,E6,0)</f>
        <v>0</v>
      </c>
      <c r="G6" s="10">
        <v>20</v>
      </c>
      <c r="H6" s="266">
        <f>IF(B6='ورود اطلاعات'!B9,G6,0)</f>
        <v>0</v>
      </c>
      <c r="I6" s="34">
        <v>12</v>
      </c>
      <c r="J6" s="272">
        <f>IF(B6='ورود اطلاعات'!B9,I6,0)</f>
        <v>0</v>
      </c>
      <c r="K6"/>
      <c r="L6" s="169" t="s">
        <v>203</v>
      </c>
      <c r="M6" s="101">
        <f>محاسبات!F78</f>
        <v>0</v>
      </c>
      <c r="N6" s="102">
        <v>0.15</v>
      </c>
      <c r="O6" s="103">
        <f>N6*M6</f>
        <v>0</v>
      </c>
    </row>
    <row r="7" spans="1:15" ht="22.5" x14ac:dyDescent="0.55000000000000004">
      <c r="A7"/>
      <c r="B7" s="326" t="s">
        <v>115</v>
      </c>
      <c r="C7" s="325">
        <v>1700</v>
      </c>
      <c r="D7" s="266">
        <f>IF(B7='ورود اطلاعات'!B9,C7,0)</f>
        <v>0</v>
      </c>
      <c r="E7" s="325">
        <v>400</v>
      </c>
      <c r="F7" s="266">
        <f>IF(B7='ورود اطلاعات'!B9,E7,0)</f>
        <v>0</v>
      </c>
      <c r="G7" s="10">
        <v>25</v>
      </c>
      <c r="H7" s="266">
        <f>IF(B7='ورود اطلاعات'!B9,G7,0)</f>
        <v>0</v>
      </c>
      <c r="I7" s="34">
        <v>14</v>
      </c>
      <c r="J7" s="272">
        <f>IF(B7='ورود اطلاعات'!B9,I7,0)</f>
        <v>0</v>
      </c>
      <c r="K7"/>
      <c r="L7" s="170" t="s">
        <v>204</v>
      </c>
      <c r="M7" s="118">
        <f>محاسبات!F79</f>
        <v>0</v>
      </c>
      <c r="N7" s="119">
        <v>0.25</v>
      </c>
      <c r="O7" s="120">
        <f>N7*M7</f>
        <v>0</v>
      </c>
    </row>
    <row r="8" spans="1:15" ht="22.5" x14ac:dyDescent="0.55000000000000004">
      <c r="A8"/>
      <c r="B8" s="326" t="s">
        <v>116</v>
      </c>
      <c r="C8" s="325">
        <v>2000</v>
      </c>
      <c r="D8" s="266">
        <f>IF(B8='ورود اطلاعات'!B9,C8,0)</f>
        <v>2000</v>
      </c>
      <c r="E8" s="325">
        <v>600</v>
      </c>
      <c r="F8" s="266">
        <f>IF(B8='ورود اطلاعات'!B9,E8,0)</f>
        <v>600</v>
      </c>
      <c r="G8" s="10">
        <v>30</v>
      </c>
      <c r="H8" s="266">
        <f>IF(B8='ورود اطلاعات'!B9,G8,0)</f>
        <v>30</v>
      </c>
      <c r="I8" s="34">
        <v>16</v>
      </c>
      <c r="J8" s="272">
        <f>IF(B8='ورود اطلاعات'!B9,I8,0)</f>
        <v>16</v>
      </c>
      <c r="K8"/>
      <c r="L8" s="169" t="s">
        <v>205</v>
      </c>
      <c r="M8" s="101">
        <f>محاسبات!F80</f>
        <v>0</v>
      </c>
      <c r="N8" s="102">
        <v>0.35</v>
      </c>
      <c r="O8" s="103">
        <f>N8*M8</f>
        <v>0</v>
      </c>
    </row>
    <row r="9" spans="1:15" ht="23.25" thickBot="1" x14ac:dyDescent="0.6">
      <c r="A9"/>
      <c r="B9" s="326" t="s">
        <v>117</v>
      </c>
      <c r="C9" s="325">
        <v>2300</v>
      </c>
      <c r="D9" s="266">
        <f>IF(B9='ورود اطلاعات'!B9,C9,0)</f>
        <v>0</v>
      </c>
      <c r="E9" s="325">
        <v>800</v>
      </c>
      <c r="F9" s="266">
        <f>IF(B9='ورود اطلاعات'!B9,E9,0)</f>
        <v>0</v>
      </c>
      <c r="G9" s="10">
        <v>35</v>
      </c>
      <c r="H9" s="266">
        <f>IF(B9='ورود اطلاعات'!B9,G9,0)</f>
        <v>0</v>
      </c>
      <c r="I9" s="34">
        <v>18</v>
      </c>
      <c r="J9" s="272">
        <f>IF(B9='ورود اطلاعات'!B9,I9,0)</f>
        <v>0</v>
      </c>
      <c r="K9"/>
      <c r="L9" s="317" t="s">
        <v>9</v>
      </c>
      <c r="M9" s="318">
        <f>SUM(M4:M8)</f>
        <v>25378985.880228516</v>
      </c>
      <c r="N9" s="319"/>
      <c r="O9" s="320"/>
    </row>
    <row r="10" spans="1:15" ht="23.25" thickBot="1" x14ac:dyDescent="0.6">
      <c r="A10"/>
      <c r="B10" s="610" t="s">
        <v>289</v>
      </c>
      <c r="C10" s="611"/>
      <c r="D10" s="97">
        <f>SUM(D4:D9)</f>
        <v>2000</v>
      </c>
      <c r="E10" s="225" t="s">
        <v>290</v>
      </c>
      <c r="F10" s="97">
        <f>SUM(F4:F9)</f>
        <v>600</v>
      </c>
      <c r="G10" s="41"/>
      <c r="H10" s="269">
        <f>SUM(H4:H9)</f>
        <v>30</v>
      </c>
      <c r="I10" s="216"/>
      <c r="J10" s="273">
        <f>SUM(J4:J9)</f>
        <v>16</v>
      </c>
      <c r="K10"/>
      <c r="L10" s="323" t="s">
        <v>326</v>
      </c>
      <c r="M10" s="324">
        <f>محاسبات!D66</f>
        <v>25378985.880228516</v>
      </c>
      <c r="N10" s="321" t="s">
        <v>209</v>
      </c>
      <c r="O10" s="322">
        <f>SUM(O4:O8)</f>
        <v>0</v>
      </c>
    </row>
    <row r="11" spans="1:15" ht="22.5" x14ac:dyDescent="0.55000000000000004">
      <c r="A11"/>
      <c r="B11" s="287"/>
      <c r="C11" s="286"/>
      <c r="D11" s="286"/>
      <c r="E11" s="286"/>
      <c r="F11" s="286"/>
      <c r="G11" s="286" t="s">
        <v>119</v>
      </c>
      <c r="H11" s="266">
        <f>IF('ورود اطلاعات'!B10&gt;30,30,'ورود اطلاعات'!B10)</f>
        <v>12</v>
      </c>
      <c r="I11" s="286" t="s">
        <v>119</v>
      </c>
      <c r="J11" s="272">
        <f>IF('ورود اطلاعات'!B12&gt;29,30,'ورود اطلاعات'!B12)</f>
        <v>12</v>
      </c>
      <c r="K11"/>
      <c r="L11" s="335"/>
      <c r="M11" s="342"/>
      <c r="N11" s="342"/>
      <c r="O11" s="336"/>
    </row>
    <row r="12" spans="1:15" ht="23.25" thickBot="1" x14ac:dyDescent="0.6">
      <c r="A12"/>
      <c r="B12" s="612" t="s">
        <v>299</v>
      </c>
      <c r="C12" s="613"/>
      <c r="D12" s="614"/>
      <c r="E12" s="45">
        <f>SUM(J17,J15,H15,F10,D10)</f>
        <v>3392.3333333333335</v>
      </c>
      <c r="F12" s="328"/>
      <c r="G12" s="328" t="s">
        <v>120</v>
      </c>
      <c r="H12" s="266">
        <f>IF('ورود اطلاعات'!B10&gt;29,0,'ورود اطلاعات'!B11)</f>
        <v>4</v>
      </c>
      <c r="I12" s="328" t="s">
        <v>120</v>
      </c>
      <c r="J12" s="272">
        <f>IF('ورود اطلاعات'!B12&gt;29,0,'ورود اطلاعات'!B13)</f>
        <v>4</v>
      </c>
      <c r="K12"/>
      <c r="L12" s="617"/>
      <c r="M12" s="618"/>
      <c r="N12" s="618"/>
      <c r="O12" s="619"/>
    </row>
    <row r="13" spans="1:15" ht="23.25" customHeight="1" thickBot="1" x14ac:dyDescent="0.6">
      <c r="A13"/>
      <c r="B13" s="285"/>
      <c r="C13" s="328"/>
      <c r="D13" s="328" t="s">
        <v>123</v>
      </c>
      <c r="E13" s="288">
        <f>IF(محاسبات!F1='ورود اطلاعات'!B5,محاسبات!E72,محاسبات!E71)</f>
        <v>0</v>
      </c>
      <c r="F13" s="328"/>
      <c r="G13" s="328"/>
      <c r="H13" s="267">
        <f>H11*H10</f>
        <v>360</v>
      </c>
      <c r="I13" s="328"/>
      <c r="J13" s="274">
        <f>J11*J10</f>
        <v>192</v>
      </c>
      <c r="K13"/>
      <c r="L13" s="620" t="s">
        <v>334</v>
      </c>
      <c r="M13" s="623" t="s">
        <v>333</v>
      </c>
      <c r="N13" s="624"/>
      <c r="O13" s="341" t="s">
        <v>39</v>
      </c>
    </row>
    <row r="14" spans="1:15" ht="22.5" customHeight="1" x14ac:dyDescent="0.55000000000000004">
      <c r="A14"/>
      <c r="B14" s="285"/>
      <c r="C14" s="328"/>
      <c r="D14" s="328" t="s">
        <v>300</v>
      </c>
      <c r="E14" s="288">
        <f>IF(محاسبات!F1='ورود اطلاعات'!B5,محاسبات!F72,محاسبات!F71)</f>
        <v>0</v>
      </c>
      <c r="F14" s="328"/>
      <c r="G14" s="328"/>
      <c r="H14" s="268">
        <f>(H12/12)*H10</f>
        <v>10</v>
      </c>
      <c r="I14" s="328"/>
      <c r="J14" s="275">
        <f>(J12/12)*J10</f>
        <v>5.333333333333333</v>
      </c>
      <c r="K14"/>
      <c r="L14" s="621"/>
      <c r="M14" s="625" t="s">
        <v>335</v>
      </c>
      <c r="N14" s="626"/>
      <c r="O14" s="338">
        <v>23000000</v>
      </c>
    </row>
    <row r="15" spans="1:15" ht="22.5" customHeight="1" x14ac:dyDescent="0.55000000000000004">
      <c r="A15"/>
      <c r="B15" s="285"/>
      <c r="C15" s="328"/>
      <c r="D15" s="328"/>
      <c r="E15" s="288">
        <f>E14+E13</f>
        <v>0</v>
      </c>
      <c r="F15" s="328"/>
      <c r="G15" s="226" t="s">
        <v>287</v>
      </c>
      <c r="H15" s="270">
        <f>H13+H14</f>
        <v>370</v>
      </c>
      <c r="I15" s="226" t="s">
        <v>288</v>
      </c>
      <c r="J15" s="276">
        <f>J14+J13</f>
        <v>197.33333333333334</v>
      </c>
      <c r="K15"/>
      <c r="L15" s="621"/>
      <c r="M15" s="627" t="s">
        <v>336</v>
      </c>
      <c r="N15" s="628"/>
      <c r="O15" s="339">
        <f>محاسبات!D75</f>
        <v>7251138.8229224328</v>
      </c>
    </row>
    <row r="16" spans="1:15" ht="23.25" customHeight="1" thickBot="1" x14ac:dyDescent="0.6">
      <c r="A16"/>
      <c r="B16" s="285"/>
      <c r="C16" s="600" t="s">
        <v>125</v>
      </c>
      <c r="D16" s="600"/>
      <c r="E16" s="50">
        <f>IF(محاسبات!F1='ورود اطلاعات'!B5,محاسبات!H72,محاسبات!H71)</f>
        <v>0</v>
      </c>
      <c r="F16" s="328"/>
      <c r="G16" s="328"/>
      <c r="H16" s="328"/>
      <c r="I16" s="271"/>
      <c r="J16" s="277">
        <f>'ورود اطلاعات'!B18</f>
        <v>450</v>
      </c>
      <c r="K16"/>
      <c r="L16" s="621"/>
      <c r="M16" s="629" t="s">
        <v>337</v>
      </c>
      <c r="N16" s="630"/>
      <c r="O16" s="340">
        <f>محاسبات!D74</f>
        <v>3720000</v>
      </c>
    </row>
    <row r="17" spans="1:15" ht="23.25" customHeight="1" thickBot="1" x14ac:dyDescent="0.6">
      <c r="A17"/>
      <c r="B17" s="285"/>
      <c r="C17" s="601" t="s">
        <v>121</v>
      </c>
      <c r="D17" s="601"/>
      <c r="E17" s="289">
        <f>E16+E12</f>
        <v>3392.3333333333335</v>
      </c>
      <c r="F17" s="328"/>
      <c r="G17" s="271" t="s">
        <v>122</v>
      </c>
      <c r="H17" s="278">
        <v>5190</v>
      </c>
      <c r="I17" s="271">
        <f>J16/2</f>
        <v>225</v>
      </c>
      <c r="J17" s="262">
        <f>IF(I17&gt;500,500,I17)</f>
        <v>225</v>
      </c>
      <c r="K17"/>
      <c r="L17" s="622"/>
      <c r="M17" s="631" t="s">
        <v>9</v>
      </c>
      <c r="N17" s="632"/>
      <c r="O17" s="337">
        <f>O14+O15+O16</f>
        <v>33971138.822922431</v>
      </c>
    </row>
    <row r="18" spans="1:15" ht="23.25" thickBot="1" x14ac:dyDescent="0.6">
      <c r="A18"/>
      <c r="B18" s="285"/>
      <c r="C18" s="602" t="s">
        <v>358</v>
      </c>
      <c r="D18" s="602"/>
      <c r="E18" s="328">
        <f>'حکم کارگزینی'!D3*75%</f>
        <v>3000</v>
      </c>
      <c r="F18" s="328"/>
      <c r="G18" s="271"/>
      <c r="H18" s="279">
        <v>0.02</v>
      </c>
      <c r="I18" s="327" t="s">
        <v>298</v>
      </c>
      <c r="J18" s="280">
        <f>J17</f>
        <v>225</v>
      </c>
      <c r="K18"/>
      <c r="L18"/>
      <c r="M18"/>
      <c r="N18"/>
      <c r="O18"/>
    </row>
    <row r="19" spans="1:15" ht="23.25" thickBot="1" x14ac:dyDescent="0.6">
      <c r="A19"/>
      <c r="B19" s="285"/>
      <c r="C19" s="603" t="s">
        <v>127</v>
      </c>
      <c r="D19" s="604"/>
      <c r="E19" s="304">
        <f>IF(E17&gt;E18,E18,E17)</f>
        <v>3000</v>
      </c>
      <c r="F19" s="328"/>
      <c r="G19" s="271" t="s">
        <v>124</v>
      </c>
      <c r="H19" s="278">
        <v>1038</v>
      </c>
      <c r="I19" s="328"/>
      <c r="J19" s="281"/>
      <c r="K19"/>
      <c r="L19"/>
      <c r="M19"/>
      <c r="N19"/>
      <c r="O19"/>
    </row>
    <row r="20" spans="1:15" ht="15.75" thickBot="1" x14ac:dyDescent="0.3">
      <c r="A20"/>
      <c r="B20" s="284"/>
      <c r="C20" s="282"/>
      <c r="D20" s="282"/>
      <c r="E20" s="282"/>
      <c r="F20" s="282"/>
      <c r="G20" s="282"/>
      <c r="H20" s="282"/>
      <c r="I20" s="282"/>
      <c r="J20" s="283"/>
      <c r="K20"/>
      <c r="L20"/>
      <c r="M20"/>
      <c r="N20"/>
      <c r="O20"/>
    </row>
    <row r="21" spans="1:15" ht="22.5" customHeight="1" x14ac:dyDescent="0.25">
      <c r="A21"/>
      <c r="B21" s="263">
        <f>IF('ورود اطلاعات'!B10&gt;30,محاسبات!B97,محاسبات!B98)</f>
        <v>0</v>
      </c>
      <c r="C21" s="605">
        <f>IF('ورود اطلاعات'!B10&gt;30,محاسبات!C97,محاسبات!C96)</f>
        <v>0</v>
      </c>
      <c r="D21" s="605"/>
      <c r="E21" s="605"/>
      <c r="F21" s="605"/>
      <c r="G21" s="605"/>
      <c r="H21" s="605"/>
      <c r="I21" s="605"/>
      <c r="J21" s="605"/>
      <c r="K21"/>
      <c r="L21"/>
      <c r="M21"/>
      <c r="N21"/>
      <c r="O21"/>
    </row>
    <row r="22" spans="1:15" ht="22.5" x14ac:dyDescent="0.25">
      <c r="A22"/>
      <c r="B22" s="264">
        <f>IF('ورود اطلاعات'!B12&gt;30,محاسبات!B97,محاسبات!B96)</f>
        <v>0</v>
      </c>
      <c r="C22" s="606">
        <f>IF('ورود اطلاعات'!B12&gt;30,محاسبات!C98,محاسبات!C96)</f>
        <v>0</v>
      </c>
      <c r="D22" s="606"/>
      <c r="E22" s="606"/>
      <c r="F22" s="606"/>
      <c r="G22" s="606"/>
      <c r="H22" s="606"/>
      <c r="I22" s="606"/>
      <c r="J22" s="606"/>
      <c r="K22"/>
      <c r="L22"/>
      <c r="M22"/>
      <c r="N22"/>
      <c r="O22"/>
    </row>
    <row r="23" spans="1:15" ht="22.5" x14ac:dyDescent="0.25">
      <c r="A23"/>
      <c r="B23" s="264" t="str">
        <f>IF(E17&gt;E18,محاسبات!B97,محاسبات!B96)</f>
        <v>قابل توجه</v>
      </c>
      <c r="C23" s="606" t="str">
        <f>IF(E17&gt;E18,محاسبات!C99,محاسبات!C96)</f>
        <v>چون امتیاز حق شاغل شما بیش از ۷۵٪ حق شغلتان است، سیستم بصورت خودکار، ۷۵٪ از حق شغل را محاسبه خواهد نمود</v>
      </c>
      <c r="D23" s="606"/>
      <c r="E23" s="606"/>
      <c r="F23" s="606"/>
      <c r="G23" s="606"/>
      <c r="H23" s="606"/>
      <c r="I23" s="606"/>
      <c r="J23" s="606"/>
      <c r="K23"/>
      <c r="L23"/>
      <c r="M23"/>
      <c r="N23"/>
      <c r="O23"/>
    </row>
    <row r="24" spans="1:15" ht="23.25" thickBot="1" x14ac:dyDescent="0.3">
      <c r="A24"/>
      <c r="B24" s="265">
        <f>IF('ورود اطلاعات'!B18&gt;1000,محاسبات!B97,محاسبات!B96)</f>
        <v>0</v>
      </c>
      <c r="C24" s="599">
        <f>IF('ورود اطلاعات'!B18&gt;1000,محاسبات!C100,محاسبات!C96)</f>
        <v>0</v>
      </c>
      <c r="D24" s="599"/>
      <c r="E24" s="599"/>
      <c r="F24" s="599"/>
      <c r="G24" s="599"/>
      <c r="H24" s="599"/>
      <c r="I24" s="599"/>
      <c r="J24" s="599"/>
      <c r="K24"/>
      <c r="L24"/>
      <c r="M24"/>
      <c r="N24"/>
      <c r="O24"/>
    </row>
    <row r="25" spans="1:15" x14ac:dyDescent="0.25">
      <c r="A25"/>
      <c r="B25"/>
      <c r="C25"/>
      <c r="D25"/>
      <c r="E25"/>
      <c r="F25"/>
      <c r="G25"/>
      <c r="H25"/>
      <c r="I25"/>
      <c r="J25"/>
      <c r="K25"/>
      <c r="L25"/>
      <c r="M25"/>
      <c r="N25"/>
      <c r="O25"/>
    </row>
  </sheetData>
  <sheetProtection algorithmName="SHA-512" hashValue="gr4BeL6oluWt37PUTNumGRGTGPecJktEHvej2QDYfLvWy29Q2eiNTuZWn1he+QxVP2WCx5FQH3H1FEm+QsTnOA==" saltValue="/VoimlsHO71Lx7fF/E+BmA==" spinCount="100000" sheet="1" objects="1" scenarios="1"/>
  <mergeCells count="20">
    <mergeCell ref="L13:L17"/>
    <mergeCell ref="M13:N13"/>
    <mergeCell ref="M14:N14"/>
    <mergeCell ref="M15:N15"/>
    <mergeCell ref="M16:N16"/>
    <mergeCell ref="M17:N17"/>
    <mergeCell ref="B2:J2"/>
    <mergeCell ref="L2:O2"/>
    <mergeCell ref="B10:C10"/>
    <mergeCell ref="B12:D12"/>
    <mergeCell ref="B3:C3"/>
    <mergeCell ref="L12:O12"/>
    <mergeCell ref="C24:J24"/>
    <mergeCell ref="C16:D16"/>
    <mergeCell ref="C17:D17"/>
    <mergeCell ref="C18:D18"/>
    <mergeCell ref="C19:D19"/>
    <mergeCell ref="C21:J21"/>
    <mergeCell ref="C22:J22"/>
    <mergeCell ref="C23:J23"/>
  </mergeCells>
  <pageMargins left="0.7" right="0.7" top="0.75" bottom="0.75" header="0.3" footer="0.3"/>
  <pageSetup paperSize="9" scale="78" orientation="portrait" r:id="rId1"/>
  <colBreaks count="1" manualBreakCount="1">
    <brk id="11" max="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ورود اطلاعات</vt:lpstr>
      <vt:lpstr>حکم کارگزینی</vt:lpstr>
      <vt:lpstr>راهنما</vt:lpstr>
      <vt:lpstr>'حق شاغل و مالیات'!Print_Area</vt:lpstr>
      <vt:lpstr>'حکم کارگزینی'!Print_Area</vt:lpstr>
      <vt:lpstr>'فیش حقوقی'!Print_Area</vt:lpstr>
      <vt:lpstr>'ورود اطلاعات'!Print_Area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2018-06-13T14:57:02Z</dcterms:modified>
</cp:coreProperties>
</file>