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foora\Desktop\New folder (9)\New folder\"/>
    </mc:Choice>
  </mc:AlternateContent>
  <bookViews>
    <workbookView xWindow="480" yWindow="15" windowWidth="11355" windowHeight="8445"/>
  </bookViews>
  <sheets>
    <sheet name="Sheet1" sheetId="5" r:id="rId1"/>
    <sheet name="sheet 2" sheetId="1" state="hidden" r:id="rId2"/>
    <sheet name="sheet 3" sheetId="2" state="hidden" r:id="rId3"/>
  </sheets>
  <definedNames>
    <definedName name="_xlnm.Print_Area" localSheetId="0">Sheet1!$A$1:$J$42</definedName>
  </definedNames>
  <calcPr calcId="162913"/>
</workbook>
</file>

<file path=xl/calcChain.xml><?xml version="1.0" encoding="utf-8"?>
<calcChain xmlns="http://schemas.openxmlformats.org/spreadsheetml/2006/main">
  <c r="B4" i="2" l="1"/>
  <c r="H14" i="5" l="1"/>
  <c r="C4" i="2"/>
  <c r="D41" i="5"/>
  <c r="G24" i="5"/>
  <c r="C41" i="5" l="1"/>
  <c r="B41" i="5"/>
  <c r="P20" i="1"/>
  <c r="H21" i="5" s="1"/>
  <c r="P21" i="1"/>
  <c r="H22" i="5" s="1"/>
  <c r="P19" i="1"/>
  <c r="P18" i="1"/>
  <c r="G33" i="5"/>
  <c r="G36" i="5" s="1"/>
  <c r="B18" i="2"/>
  <c r="B51" i="1"/>
  <c r="D51" i="1"/>
  <c r="B50" i="1"/>
  <c r="D50" i="1"/>
  <c r="B42" i="1"/>
  <c r="J41" i="1" s="1"/>
  <c r="B43" i="1"/>
  <c r="J42" i="1" s="1"/>
  <c r="B44" i="1"/>
  <c r="J43" i="1" s="1"/>
  <c r="B45" i="1"/>
  <c r="J44" i="1" s="1"/>
  <c r="B46" i="1"/>
  <c r="J45" i="1" s="1"/>
  <c r="B41" i="1"/>
  <c r="J40" i="1" s="1"/>
  <c r="D42" i="1"/>
  <c r="L41" i="1" s="1"/>
  <c r="D43" i="1"/>
  <c r="L42" i="1" s="1"/>
  <c r="D44" i="1"/>
  <c r="L43" i="1" s="1"/>
  <c r="D45" i="1"/>
  <c r="L44" i="1" s="1"/>
  <c r="D46" i="1"/>
  <c r="L45" i="1" s="1"/>
  <c r="D41" i="1"/>
  <c r="L40" i="1" s="1"/>
  <c r="B26" i="1"/>
  <c r="J25" i="1" s="1"/>
  <c r="B27" i="1"/>
  <c r="J26" i="1" s="1"/>
  <c r="B28" i="1"/>
  <c r="J27" i="1" s="1"/>
  <c r="B29" i="1"/>
  <c r="J28" i="1" s="1"/>
  <c r="B30" i="1"/>
  <c r="J29" i="1" s="1"/>
  <c r="B25" i="1"/>
  <c r="J24" i="1" s="1"/>
  <c r="D26" i="1"/>
  <c r="L25" i="1" s="1"/>
  <c r="D27" i="1"/>
  <c r="L26" i="1" s="1"/>
  <c r="D28" i="1"/>
  <c r="L27" i="1" s="1"/>
  <c r="D29" i="1"/>
  <c r="L28" i="1" s="1"/>
  <c r="D30" i="1"/>
  <c r="L29" i="1" s="1"/>
  <c r="D25" i="1"/>
  <c r="L24" i="1" s="1"/>
  <c r="J14" i="5"/>
  <c r="G41" i="5"/>
  <c r="H41" i="5"/>
  <c r="B10" i="1"/>
  <c r="C10" i="1" s="1"/>
  <c r="B11" i="1" s="1"/>
  <c r="B7" i="2" s="1"/>
  <c r="B6" i="5"/>
  <c r="B1" i="1" s="1"/>
  <c r="A8" i="1" s="1"/>
  <c r="H35" i="5"/>
  <c r="G35" i="5"/>
  <c r="H34" i="5"/>
  <c r="G34" i="5"/>
  <c r="P16" i="1"/>
  <c r="H17" i="5" s="1"/>
  <c r="J17" i="5" s="1"/>
  <c r="P15" i="1"/>
  <c r="H16" i="5" s="1"/>
  <c r="J16" i="5" s="1"/>
  <c r="P14" i="1"/>
  <c r="H15" i="5" s="1"/>
  <c r="P12" i="1"/>
  <c r="H13" i="5" s="1"/>
  <c r="P11" i="1"/>
  <c r="P10" i="1"/>
  <c r="H11" i="5" s="1"/>
  <c r="P9" i="1"/>
  <c r="P7" i="1"/>
  <c r="H8" i="5" s="1"/>
  <c r="P35" i="1" s="1"/>
  <c r="P6" i="1"/>
  <c r="H7" i="5" s="1"/>
  <c r="P34" i="1" s="1"/>
  <c r="B3" i="2"/>
  <c r="F15" i="2" s="1"/>
  <c r="H18" i="5"/>
  <c r="J18" i="5" s="1"/>
  <c r="H10" i="5"/>
  <c r="J10" i="5" s="1"/>
  <c r="C51" i="1"/>
  <c r="C50" i="1"/>
  <c r="C42" i="1"/>
  <c r="K41" i="1" s="1"/>
  <c r="C43" i="1"/>
  <c r="C44" i="1"/>
  <c r="K43" i="1" s="1"/>
  <c r="C45" i="1"/>
  <c r="C46" i="1"/>
  <c r="K45" i="1" s="1"/>
  <c r="C41" i="1"/>
  <c r="C26" i="1"/>
  <c r="K25" i="1" s="1"/>
  <c r="C27" i="1"/>
  <c r="C28" i="1"/>
  <c r="K27" i="1" s="1"/>
  <c r="C29" i="1"/>
  <c r="C30" i="1"/>
  <c r="K29" i="1" s="1"/>
  <c r="C25" i="1"/>
  <c r="K24" i="1" s="1"/>
  <c r="B72" i="1"/>
  <c r="B78" i="1" s="1"/>
  <c r="B81" i="1" s="1"/>
  <c r="K33" i="1"/>
  <c r="K34" i="1"/>
  <c r="J31" i="1"/>
  <c r="J32" i="1"/>
  <c r="J33" i="1"/>
  <c r="J34" i="1"/>
  <c r="K31" i="1"/>
  <c r="K32" i="1"/>
  <c r="E31" i="1"/>
  <c r="L31" i="1"/>
  <c r="L32" i="1"/>
  <c r="L33" i="1"/>
  <c r="L34" i="1"/>
  <c r="J35" i="1"/>
  <c r="K35" i="1"/>
  <c r="L35" i="1"/>
  <c r="B79" i="1"/>
  <c r="B73" i="1"/>
  <c r="B88" i="1"/>
  <c r="E35" i="1"/>
  <c r="F35" i="1"/>
  <c r="E34" i="1"/>
  <c r="F34" i="1"/>
  <c r="E33" i="1"/>
  <c r="F33" i="1"/>
  <c r="E32" i="1"/>
  <c r="F32" i="1"/>
  <c r="E36" i="1"/>
  <c r="F36" i="1"/>
  <c r="D86" i="1"/>
  <c r="B86" i="1"/>
  <c r="D87" i="1"/>
  <c r="B87" i="1"/>
  <c r="B80" i="1"/>
  <c r="E67" i="1"/>
  <c r="B68" i="1" s="1"/>
  <c r="F67" i="1"/>
  <c r="B74" i="1"/>
  <c r="P37" i="1" l="1"/>
  <c r="P41" i="1"/>
  <c r="P39" i="1"/>
  <c r="P40" i="1"/>
  <c r="P42" i="1"/>
  <c r="E26" i="1"/>
  <c r="F26" i="1" s="1"/>
  <c r="E50" i="1"/>
  <c r="F50" i="1" s="1"/>
  <c r="G50" i="1" s="1"/>
  <c r="B13" i="1"/>
  <c r="E28" i="1"/>
  <c r="F28" i="1" s="1"/>
  <c r="E46" i="1"/>
  <c r="F46" i="1" s="1"/>
  <c r="E30" i="1"/>
  <c r="F30" i="1" s="1"/>
  <c r="E42" i="1"/>
  <c r="F42" i="1" s="1"/>
  <c r="E44" i="1"/>
  <c r="F44" i="1" s="1"/>
  <c r="C3" i="2"/>
  <c r="E51" i="1"/>
  <c r="F51" i="1" s="1"/>
  <c r="G51" i="1" s="1"/>
  <c r="K40" i="1"/>
  <c r="E41" i="1"/>
  <c r="F41" i="1" s="1"/>
  <c r="J36" i="1"/>
  <c r="J37" i="1" s="1"/>
  <c r="J48" i="1"/>
  <c r="K39" i="1" s="1"/>
  <c r="B8" i="1"/>
  <c r="B6" i="2" s="1"/>
  <c r="K26" i="1"/>
  <c r="E27" i="1"/>
  <c r="F27" i="1" s="1"/>
  <c r="K28" i="1"/>
  <c r="E29" i="1"/>
  <c r="F29" i="1" s="1"/>
  <c r="K42" i="1"/>
  <c r="E43" i="1"/>
  <c r="F43" i="1" s="1"/>
  <c r="E25" i="1"/>
  <c r="F25" i="1" s="1"/>
  <c r="J38" i="1"/>
  <c r="K23" i="1" s="1"/>
  <c r="J46" i="1"/>
  <c r="J47" i="1" s="1"/>
  <c r="K44" i="1"/>
  <c r="E45" i="1"/>
  <c r="F45" i="1" s="1"/>
  <c r="G52" i="1" l="1"/>
  <c r="J52" i="1" s="1"/>
  <c r="Q40" i="1"/>
  <c r="R40" i="1" s="1"/>
  <c r="S40" i="1" s="1"/>
  <c r="T40" i="1" s="1"/>
  <c r="U40" i="1" s="1"/>
  <c r="Q35" i="1"/>
  <c r="R35" i="1" s="1"/>
  <c r="S35" i="1" s="1"/>
  <c r="T35" i="1" s="1"/>
  <c r="U35" i="1" s="1"/>
  <c r="Q41" i="1"/>
  <c r="R41" i="1" s="1"/>
  <c r="S41" i="1" s="1"/>
  <c r="T41" i="1"/>
  <c r="U41" i="1" s="1"/>
  <c r="Q42" i="1"/>
  <c r="R42" i="1" s="1"/>
  <c r="S42" i="1" s="1"/>
  <c r="T42" i="1"/>
  <c r="U42" i="1" s="1"/>
  <c r="I22" i="5" s="1"/>
  <c r="Q39" i="1"/>
  <c r="R39" i="1" s="1"/>
  <c r="S39" i="1" s="1"/>
  <c r="T39" i="1"/>
  <c r="U39" i="1" s="1"/>
  <c r="Q34" i="1"/>
  <c r="R34" i="1" s="1"/>
  <c r="S34" i="1" s="1"/>
  <c r="T34" i="1" s="1"/>
  <c r="U34" i="1" s="1"/>
  <c r="Q37" i="1"/>
  <c r="R37" i="1" s="1"/>
  <c r="S37" i="1" s="1"/>
  <c r="T37" i="1" s="1"/>
  <c r="U37" i="1" s="1"/>
  <c r="A20" i="1"/>
  <c r="B20" i="1"/>
  <c r="B8" i="2" s="1"/>
  <c r="F37" i="1"/>
  <c r="B9" i="2" s="1"/>
  <c r="K46" i="1"/>
  <c r="K47" i="1" s="1"/>
  <c r="K48" i="1"/>
  <c r="L39" i="1" s="1"/>
  <c r="L47" i="1" s="1"/>
  <c r="B17" i="5"/>
  <c r="B37" i="1"/>
  <c r="B27" i="5"/>
  <c r="B47" i="1"/>
  <c r="F47" i="1"/>
  <c r="B10" i="2" s="1"/>
  <c r="K36" i="1"/>
  <c r="K37" i="1" s="1"/>
  <c r="K38" i="1"/>
  <c r="L23" i="1" s="1"/>
  <c r="L37" i="1" s="1"/>
  <c r="B11" i="2" l="1"/>
  <c r="E14" i="2" s="1"/>
  <c r="D17" i="5"/>
  <c r="D37" i="1"/>
  <c r="C27" i="5"/>
  <c r="C47" i="1"/>
  <c r="C37" i="1"/>
  <c r="C17" i="5"/>
  <c r="D47" i="1"/>
  <c r="D27" i="5"/>
  <c r="H50" i="1" l="1"/>
  <c r="B12" i="2"/>
  <c r="H51" i="1"/>
  <c r="I51" i="1" l="1"/>
  <c r="B14" i="2" s="1"/>
  <c r="I50" i="1"/>
  <c r="I52" i="1" l="1"/>
  <c r="B13" i="2"/>
  <c r="C14" i="2" s="1"/>
  <c r="D14" i="2" s="1"/>
  <c r="B15" i="2" s="1"/>
  <c r="B16" i="2" s="1"/>
  <c r="B17" i="2" s="1"/>
  <c r="H9" i="5" s="1"/>
  <c r="P8" i="1" l="1"/>
  <c r="H20" i="5"/>
  <c r="J20" i="5" s="1"/>
  <c r="H19" i="5"/>
  <c r="J19" i="5" s="1"/>
  <c r="P36" i="1"/>
  <c r="H33" i="5"/>
  <c r="H36" i="5" s="1"/>
  <c r="H12" i="5"/>
  <c r="P38" i="1" s="1"/>
  <c r="Q36" i="1" l="1"/>
  <c r="R36" i="1" s="1"/>
  <c r="S36" i="1" s="1"/>
  <c r="T36" i="1" s="1"/>
  <c r="U36" i="1" s="1"/>
  <c r="P43" i="1"/>
  <c r="Q38" i="1"/>
  <c r="R38" i="1" s="1"/>
  <c r="S38" i="1" s="1"/>
  <c r="T38" i="1" s="1"/>
  <c r="U38" i="1" s="1"/>
  <c r="Q43" i="1" l="1"/>
  <c r="R43" i="1" s="1"/>
  <c r="S43" i="1" s="1"/>
  <c r="T43" i="1" s="1"/>
  <c r="T44" i="1" s="1"/>
  <c r="V34" i="1" l="1"/>
  <c r="I7" i="5" s="1"/>
  <c r="V41" i="1"/>
  <c r="I21" i="5" s="1"/>
  <c r="V39" i="1"/>
  <c r="I13" i="5" s="1"/>
  <c r="V37" i="1"/>
  <c r="I11" i="5" s="1"/>
  <c r="G28" i="5"/>
  <c r="V42" i="1"/>
  <c r="V40" i="1"/>
  <c r="I15" i="5" s="1"/>
  <c r="V35" i="1"/>
  <c r="I8" i="5" s="1"/>
  <c r="V38" i="1"/>
  <c r="I12" i="5" s="1"/>
  <c r="V36" i="1"/>
  <c r="I9" i="5" s="1"/>
  <c r="U43" i="1"/>
  <c r="J8" i="5"/>
  <c r="J22" i="5"/>
  <c r="J11" i="5"/>
  <c r="J13" i="5" l="1"/>
  <c r="J12" i="5"/>
  <c r="J9" i="5"/>
  <c r="J21" i="5"/>
  <c r="I24" i="5"/>
  <c r="J7" i="5"/>
  <c r="V43" i="1"/>
  <c r="J15" i="5"/>
  <c r="P24" i="1" l="1"/>
  <c r="P25" i="1" s="1"/>
  <c r="P28" i="1" s="1"/>
  <c r="P29" i="1" s="1"/>
  <c r="P30" i="1" s="1"/>
  <c r="P27" i="1" l="1"/>
  <c r="P26" i="1"/>
  <c r="H23" i="5" s="1"/>
  <c r="J23" i="5" s="1"/>
  <c r="J24" i="5" s="1"/>
  <c r="P22" i="1" s="1"/>
  <c r="G26" i="5" s="1"/>
  <c r="G27" i="5" s="1"/>
  <c r="H24" i="5"/>
</calcChain>
</file>

<file path=xl/comments1.xml><?xml version="1.0" encoding="utf-8"?>
<comments xmlns="http://schemas.openxmlformats.org/spreadsheetml/2006/main">
  <authors>
    <author>Naseer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 xml:space="preserve">
آخرین مدرک تحصیلی که در حکم سال 1396 اعمال گردیده را انتخاب نمایید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 xml:space="preserve">
مجموع ساعات دوره های آموزشی مورد قبول دستگاه را وارد نمایید.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>حداکثر جمع مدت سابقه دولتی قابل قبول 30 سال می باشد
لطفا از درج مدت بیش از 30 سال خودداری نمایید
* مدت خدمت وظیفه عمومی جزو سنوات دولتی قابل احتساب می باشد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</rPr>
          <t>حداکثر جمع مدت تجربه قابل احتساب 30 سال می باشد
لطفا از درج مدت بیش از 30 سال خودداری نمایید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</rPr>
          <t xml:space="preserve">مدت خدمت در پست های سرپرستی و مدیریتی را محاسبه و به تفکیک روز /ماه / سال وارد نمایید
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</rPr>
          <t>میزان ضریب افزایش حقوق و مزایا در دستگاه خود را وارد نمایید.
مخصوص قوه قضاییه ، سازمان امور مالیاتی ، وزارت کشور ، آموزش و پرورش و ...
**** اعداد بصورت زیر وارد شود ****
بدون ضریب = 1
با افزایش 10 % = 1/1
با افزایش 35 درصد = 1/35
با افزایش 50 درصد = 1/5</t>
        </r>
      </text>
    </comment>
  </commentList>
</comments>
</file>

<file path=xl/sharedStrings.xml><?xml version="1.0" encoding="utf-8"?>
<sst xmlns="http://schemas.openxmlformats.org/spreadsheetml/2006/main" count="247" uniqueCount="139">
  <si>
    <t>تحصيلات</t>
  </si>
  <si>
    <t>زير ديپلم</t>
  </si>
  <si>
    <t>ديپلم</t>
  </si>
  <si>
    <t>فوق ديپلم</t>
  </si>
  <si>
    <t>ليسانس</t>
  </si>
  <si>
    <t>فوق ليسانس</t>
  </si>
  <si>
    <t>دكتري</t>
  </si>
  <si>
    <t>امتياز حق شاغل</t>
  </si>
  <si>
    <t>دوره هاي آموزشي</t>
  </si>
  <si>
    <t>امتياز مهارت و توانايي</t>
  </si>
  <si>
    <t>سنوات خدمت</t>
  </si>
  <si>
    <t>روز</t>
  </si>
  <si>
    <t>ماه</t>
  </si>
  <si>
    <t>سال</t>
  </si>
  <si>
    <t>سنوات به روز</t>
  </si>
  <si>
    <t>امتياز تجربه</t>
  </si>
  <si>
    <t>تجربه به روز</t>
  </si>
  <si>
    <t>سربازي</t>
  </si>
  <si>
    <t>امتياز سرپرستي</t>
  </si>
  <si>
    <t>سرپرستي</t>
  </si>
  <si>
    <t>مديريتي</t>
  </si>
  <si>
    <t>امتياز به روز</t>
  </si>
  <si>
    <t>فوق العاده مديريت</t>
  </si>
  <si>
    <t>حق شغل</t>
  </si>
  <si>
    <t>امتياز ايثارگري</t>
  </si>
  <si>
    <t>جانبازي</t>
  </si>
  <si>
    <t>بالاتر از 60</t>
  </si>
  <si>
    <t>جبه</t>
  </si>
  <si>
    <t>امتياز</t>
  </si>
  <si>
    <t>بالاترين امتياز</t>
  </si>
  <si>
    <t>3تا6</t>
  </si>
  <si>
    <t>6تا12</t>
  </si>
  <si>
    <t>12تا18</t>
  </si>
  <si>
    <t>18تا24</t>
  </si>
  <si>
    <t>24تا30</t>
  </si>
  <si>
    <t>30تا36</t>
  </si>
  <si>
    <t>36تا42</t>
  </si>
  <si>
    <t>42تا48</t>
  </si>
  <si>
    <t>48تا54</t>
  </si>
  <si>
    <t>54تا60</t>
  </si>
  <si>
    <t>60تا70</t>
  </si>
  <si>
    <t>70 به بالا</t>
  </si>
  <si>
    <t>كسور مشمول 87</t>
  </si>
  <si>
    <t>سختي كار</t>
  </si>
  <si>
    <t>عائله مندي87</t>
  </si>
  <si>
    <t>اولاد87</t>
  </si>
  <si>
    <t>حقوق مشمول و ع وا</t>
  </si>
  <si>
    <t>عائله مندي 88</t>
  </si>
  <si>
    <t>اولاد 88</t>
  </si>
  <si>
    <t>جمع</t>
  </si>
  <si>
    <t>بدي آب و هوا</t>
  </si>
  <si>
    <t xml:space="preserve"> فوق العاده محل خدمت</t>
  </si>
  <si>
    <t>مجموع امتياز سرپرستي و مديريت</t>
  </si>
  <si>
    <t>حق شاغل+امتيازم وس</t>
  </si>
  <si>
    <t>درصد جانبازي</t>
  </si>
  <si>
    <t xml:space="preserve">25درصدامتياز </t>
  </si>
  <si>
    <t>مدت خدمت جبهه</t>
  </si>
  <si>
    <t>كد را وارد كنيد</t>
  </si>
  <si>
    <t>تعداد اولاد 1388</t>
  </si>
  <si>
    <t>كسور مشمول منهاي سختي كار</t>
  </si>
  <si>
    <t>كسور</t>
  </si>
  <si>
    <t>تعداد اولاد</t>
  </si>
  <si>
    <t>جمع سنوات</t>
  </si>
  <si>
    <t>جمع تجربه</t>
  </si>
  <si>
    <t>حق نوار مرزي</t>
  </si>
  <si>
    <t>محروميت از تسهيلات</t>
  </si>
  <si>
    <t>میزان ساعات دوره هاي آموزشي</t>
  </si>
  <si>
    <t>مدت سوابق خدمت دولتی قابل قبول به تفکیک مدرک تحصیلی</t>
  </si>
  <si>
    <t>مدت تجربه مربوط و مشابه قابل قبول در دستگاه به تفکیک مدرک تحصیلی</t>
  </si>
  <si>
    <t xml:space="preserve">میزان ضریب افزایش حقوق در دستگاه </t>
  </si>
  <si>
    <t>جمع سنوات تا تاریخ 97/1/1</t>
  </si>
  <si>
    <t>جمع تجربه تا تاریخ 97/1/1</t>
  </si>
  <si>
    <t>عنوان</t>
  </si>
  <si>
    <t>مبالغ سال 1396</t>
  </si>
  <si>
    <t>مبالغ سال 1397</t>
  </si>
  <si>
    <t xml:space="preserve">فوق العاده مدیریت </t>
  </si>
  <si>
    <t>تفاوت تطبیق</t>
  </si>
  <si>
    <t>فوق العاده شغل</t>
  </si>
  <si>
    <t>فوق العاده ویژه</t>
  </si>
  <si>
    <t>فوق العاده ایثارگری</t>
  </si>
  <si>
    <t>فوق العاده ایثارگری موضوع ماده 51 قانون جامع</t>
  </si>
  <si>
    <t>فوق العاده سختی کار</t>
  </si>
  <si>
    <t>کمک هزینه عائله مندی</t>
  </si>
  <si>
    <t>کمک هزینه اولاد</t>
  </si>
  <si>
    <t>جز ب بند 11 قانون بودجه سال 1388</t>
  </si>
  <si>
    <t>فوق العاده بدی آب و هوا</t>
  </si>
  <si>
    <t>فوق العاده مناطق کمتر توسعه یافته</t>
  </si>
  <si>
    <t>جمع نهایی مبالغ حکم کارگزینی</t>
  </si>
  <si>
    <t>ضریب سال 1396</t>
  </si>
  <si>
    <t>ضریب سال 1397</t>
  </si>
  <si>
    <t>امتیاز</t>
  </si>
  <si>
    <t>کمک هزینه ازدواج و فوت</t>
  </si>
  <si>
    <t>عیدی پایان سال</t>
  </si>
  <si>
    <t>مبلغ یک ساعت حق التحقیق و حق التدریس</t>
  </si>
  <si>
    <t>فوق العاده نشان های دولتی</t>
  </si>
  <si>
    <t>فوق العاده خدمت در مناطق جنگ زده</t>
  </si>
  <si>
    <t>میزان افزایش حکم در سال 1397</t>
  </si>
  <si>
    <t xml:space="preserve">حق شاغل </t>
  </si>
  <si>
    <t xml:space="preserve">مدت </t>
  </si>
  <si>
    <t>تاریخ انتها</t>
  </si>
  <si>
    <t>تاریخ ابتدا</t>
  </si>
  <si>
    <t xml:space="preserve">آخرین مدرک تحصیلی اعمال شده </t>
  </si>
  <si>
    <t>درصد ضریب تعدیل</t>
  </si>
  <si>
    <t>کمک هزینه تلفن همراه</t>
  </si>
  <si>
    <t>کمک هزینه مهدکودک</t>
  </si>
  <si>
    <t xml:space="preserve">کمک هزینه غذا (روزانه) </t>
  </si>
  <si>
    <t xml:space="preserve"> سال 1396</t>
  </si>
  <si>
    <t xml:space="preserve"> سال 1397</t>
  </si>
  <si>
    <t>کمک هزینه ایاب و ذهاب - تهران</t>
  </si>
  <si>
    <t>پس انداز سهم کارمند</t>
  </si>
  <si>
    <t>مبلغ یک ساعت اضافه کار</t>
  </si>
  <si>
    <t>حقوق و مزایای مشمول کسور سال 1397</t>
  </si>
  <si>
    <t>حقوق به میلیون ريال</t>
  </si>
  <si>
    <t>ضریب تعدیل</t>
  </si>
  <si>
    <t>سایر-جز ب بند 11 قانون بودجه سال 1388</t>
  </si>
  <si>
    <t>مدت خدمت در پست های سرپرستی و مدیریتی تا تاریخ 97/1/1</t>
  </si>
  <si>
    <t>شاغل با 75 درصد</t>
  </si>
  <si>
    <t>امتیاز حق شاغل با ضریب</t>
  </si>
  <si>
    <t>ضریب</t>
  </si>
  <si>
    <t>سایر اطلاعات که در صورت تحقق برابر ضوابط قابل پرداخت خواهد بود</t>
  </si>
  <si>
    <t>جهت محاسبه مدت بین دو تاریخ از جدول ذیل استفاده نمایید</t>
  </si>
  <si>
    <r>
      <rPr>
        <sz val="20"/>
        <color indexed="60"/>
        <rFont val="B Koodak"/>
        <charset val="178"/>
      </rPr>
      <t>محاسبه حقوق سال 1397 کارکنان مشمول قانون مدیریت خدمات کشوری</t>
    </r>
    <r>
      <rPr>
        <sz val="12"/>
        <color indexed="60"/>
        <rFont val="B Koodak"/>
        <charset val="178"/>
      </rPr>
      <t xml:space="preserve">
توجه : لطفا با توجه به آخرین حکم کارگزینی سال 96 و اطلاعات شخصی ، فقط اطلاعات در خانه های </t>
    </r>
    <r>
      <rPr>
        <u/>
        <sz val="12"/>
        <color indexed="13"/>
        <rFont val="B Koodak"/>
        <charset val="178"/>
      </rPr>
      <t>زرد رنگ</t>
    </r>
    <r>
      <rPr>
        <sz val="12"/>
        <color indexed="60"/>
        <rFont val="B Koodak"/>
        <charset val="178"/>
      </rPr>
      <t xml:space="preserve"> وارد شود.</t>
    </r>
    <r>
      <rPr>
        <sz val="12"/>
        <color indexed="10"/>
        <rFont val="B Koodak"/>
        <charset val="178"/>
      </rPr>
      <t xml:space="preserve">
</t>
    </r>
    <r>
      <rPr>
        <sz val="8"/>
        <color indexed="36"/>
        <rFont val="B Koodak"/>
        <charset val="178"/>
      </rPr>
      <t/>
    </r>
  </si>
  <si>
    <t xml:space="preserve">درصد افزایش حکم </t>
  </si>
  <si>
    <t>حداقل دریافتی</t>
  </si>
  <si>
    <t>مبلغ حداقل دریافتی سال 97</t>
  </si>
  <si>
    <t>امتیاز سنوات خدمت</t>
  </si>
  <si>
    <t>ضریب نهایی تعدیل</t>
  </si>
  <si>
    <t>مقایسه جهت حداقل دریافتی</t>
  </si>
  <si>
    <t>توجه : در این فایل درصد حاصل از فرمول ضریب تعدیل ، در هر یک از حقوق و مزایای مشمول کسور بازنشستگی سال 97 مستخدم ضرب و نتیجه حاصله به همان مبلغ (اقلام مشمول کسور بازنشستگی سال 97) اضافه گردیده است.</t>
  </si>
  <si>
    <t>https://shenasname.ir</t>
  </si>
  <si>
    <r>
      <t xml:space="preserve">20درصد </t>
    </r>
    <r>
      <rPr>
        <sz val="9"/>
        <color theme="0"/>
        <rFont val="Arial"/>
        <family val="2"/>
      </rPr>
      <t>75درصد</t>
    </r>
  </si>
  <si>
    <r>
      <t xml:space="preserve">حق شاغل </t>
    </r>
    <r>
      <rPr>
        <sz val="9"/>
        <color theme="0"/>
        <rFont val="Arial"/>
        <family val="2"/>
      </rPr>
      <t>بعدازمقايسه75</t>
    </r>
  </si>
  <si>
    <t>75درصد حق شغل و مدیریت</t>
  </si>
  <si>
    <t>امتياز منظور شده مدیریت</t>
  </si>
  <si>
    <t>مبالغ با ضریب 1797</t>
  </si>
  <si>
    <t>مبالغ با ضریب تعدیل</t>
  </si>
  <si>
    <t>ضریب تعدیل نهایی</t>
  </si>
  <si>
    <r>
      <rPr>
        <sz val="10"/>
        <color indexed="17"/>
        <rFont val="B Koodak"/>
        <charset val="178"/>
      </rPr>
      <t xml:space="preserve">تهیه و تنظیم : ناصر مه آبادی کارشناس مسئول منابع انسانی سازمان ثبت احوال کشور </t>
    </r>
    <r>
      <rPr>
        <sz val="9"/>
        <color indexed="17"/>
        <rFont val="B Koodak"/>
        <charset val="178"/>
      </rPr>
      <t xml:space="preserve">              </t>
    </r>
    <r>
      <rPr>
        <sz val="9"/>
        <color indexed="17"/>
        <rFont val="Tahoma"/>
        <family val="2"/>
      </rPr>
      <t xml:space="preserve"> </t>
    </r>
    <r>
      <rPr>
        <sz val="10"/>
        <color indexed="17"/>
        <rFont val="Tahoma"/>
        <family val="2"/>
      </rPr>
      <t xml:space="preserve">NaserMahabadi@       </t>
    </r>
    <r>
      <rPr>
        <sz val="8"/>
        <color indexed="17"/>
        <rFont val="Tahoma"/>
        <family val="2"/>
      </rPr>
      <t>نسخه 3-97</t>
    </r>
  </si>
  <si>
    <t>مبلغ نهایی سال 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</si>
</sst>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_-* #,##0.00\-;_-* &quot;-&quot;??_-;_-@_-"/>
    <numFmt numFmtId="165" formatCode="_(* #,##0_);_(* \(#,##0\);_(* &quot;-&quot;??_);_(@_)"/>
    <numFmt numFmtId="166" formatCode="0.0%"/>
    <numFmt numFmtId="167" formatCode="_-* #,##0_-;_-* #,##0\-;_-* &quot;-&quot;??_-;_-@_-"/>
    <numFmt numFmtId="168" formatCode="_-&quot;ريال&quot;* #,##0_-;_-&quot;ريال&quot;* #,##0\-;_-&quot;ريال&quot;* &quot;-&quot;??_-;_-@_-"/>
    <numFmt numFmtId="169" formatCode="_-* #,##0.000000_-;_-* #,##0.000000\-;_-* &quot;-&quot;??_-;_-@_-"/>
    <numFmt numFmtId="170" formatCode="0.000000"/>
  </numFmts>
  <fonts count="39" x14ac:knownFonts="1">
    <font>
      <sz val="10"/>
      <name val="Arial"/>
      <charset val="178"/>
    </font>
    <font>
      <sz val="10"/>
      <name val="Arial"/>
      <family val="2"/>
    </font>
    <font>
      <sz val="8"/>
      <name val="Arial"/>
      <family val="2"/>
    </font>
    <font>
      <sz val="10"/>
      <name val="B Koodak"/>
      <charset val="178"/>
    </font>
    <font>
      <sz val="10"/>
      <name val="Arial"/>
      <family val="2"/>
    </font>
    <font>
      <b/>
      <sz val="9"/>
      <color indexed="81"/>
      <name val="Tahoma"/>
      <family val="2"/>
    </font>
    <font>
      <b/>
      <sz val="10"/>
      <name val="B Koodak"/>
      <charset val="178"/>
    </font>
    <font>
      <sz val="12"/>
      <name val="B Koodak"/>
      <charset val="178"/>
    </font>
    <font>
      <sz val="8"/>
      <color indexed="36"/>
      <name val="B Koodak"/>
      <charset val="178"/>
    </font>
    <font>
      <sz val="12"/>
      <color indexed="60"/>
      <name val="B Koodak"/>
      <charset val="178"/>
    </font>
    <font>
      <u/>
      <sz val="12"/>
      <color indexed="13"/>
      <name val="B Koodak"/>
      <charset val="178"/>
    </font>
    <font>
      <sz val="12"/>
      <color indexed="10"/>
      <name val="B Koodak"/>
      <charset val="178"/>
    </font>
    <font>
      <sz val="20"/>
      <color indexed="60"/>
      <name val="B Koodak"/>
      <charset val="178"/>
    </font>
    <font>
      <sz val="9"/>
      <color indexed="17"/>
      <name val="B Koodak"/>
      <charset val="178"/>
    </font>
    <font>
      <sz val="10"/>
      <color indexed="17"/>
      <name val="B Koodak"/>
      <charset val="178"/>
    </font>
    <font>
      <sz val="9"/>
      <color indexed="17"/>
      <name val="Tahoma"/>
      <family val="2"/>
    </font>
    <font>
      <sz val="10"/>
      <color indexed="17"/>
      <name val="Tahoma"/>
      <family val="2"/>
    </font>
    <font>
      <u/>
      <sz val="10"/>
      <color theme="10"/>
      <name val="Arial"/>
      <family val="2"/>
    </font>
    <font>
      <sz val="12"/>
      <color theme="1"/>
      <name val="B Koodak"/>
      <charset val="178"/>
    </font>
    <font>
      <sz val="12"/>
      <color theme="0"/>
      <name val="B Koodak"/>
      <charset val="178"/>
    </font>
    <font>
      <b/>
      <sz val="12"/>
      <color theme="0" tint="-4.9989318521683403E-2"/>
      <name val="B Koodak"/>
      <charset val="178"/>
    </font>
    <font>
      <b/>
      <sz val="10"/>
      <color theme="0" tint="-4.9989318521683403E-2"/>
      <name val="B Koodak"/>
      <charset val="178"/>
    </font>
    <font>
      <sz val="12"/>
      <color theme="0" tint="-4.9989318521683403E-2"/>
      <name val="B Koodak"/>
      <charset val="178"/>
    </font>
    <font>
      <sz val="10"/>
      <color theme="0" tint="-4.9989318521683403E-2"/>
      <name val="B Koodak"/>
      <charset val="178"/>
    </font>
    <font>
      <u/>
      <sz val="10"/>
      <color theme="2" tint="-0.749992370372631"/>
      <name val="Tahoma"/>
      <family val="2"/>
    </font>
    <font>
      <sz val="9"/>
      <color theme="6" tint="-0.499984740745262"/>
      <name val="B Koodak"/>
      <charset val="178"/>
    </font>
    <font>
      <sz val="12"/>
      <color rgb="FFFF0000"/>
      <name val="B Koodak"/>
      <charset val="178"/>
    </font>
    <font>
      <sz val="12"/>
      <color theme="5" tint="-0.249977111117893"/>
      <name val="B Koodak"/>
      <charset val="178"/>
    </font>
    <font>
      <sz val="14"/>
      <color rgb="FFFF0000"/>
      <name val="B Koodak"/>
      <charset val="178"/>
    </font>
    <font>
      <sz val="10"/>
      <color theme="5" tint="-0.249977111117893"/>
      <name val="B Koodak"/>
      <charset val="178"/>
    </font>
    <font>
      <sz val="11"/>
      <color theme="5" tint="-0.249977111117893"/>
      <name val="B Koodak"/>
      <charset val="178"/>
    </font>
    <font>
      <sz val="14"/>
      <color theme="0"/>
      <name val="B Koodak"/>
      <charset val="178"/>
    </font>
    <font>
      <sz val="8"/>
      <color theme="0" tint="-4.9989318521683403E-2"/>
      <name val="B Koodak"/>
      <charset val="178"/>
    </font>
    <font>
      <sz val="8"/>
      <color indexed="17"/>
      <name val="Tahoma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4C4B"/>
        <bgColor indexed="64"/>
      </patternFill>
    </fill>
    <fill>
      <patternFill patternType="solid">
        <fgColor rgb="FFE6E3BB"/>
        <bgColor indexed="64"/>
      </patternFill>
    </fill>
    <fill>
      <patternFill patternType="gray0625">
        <bgColor rgb="FF664C4B"/>
      </patternFill>
    </fill>
    <fill>
      <patternFill patternType="solid">
        <fgColor rgb="FFCC33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4" fillId="0" borderId="0" xfId="0" applyFont="1"/>
    <xf numFmtId="0" fontId="3" fillId="2" borderId="0" xfId="0" applyFont="1" applyFill="1"/>
    <xf numFmtId="0" fontId="6" fillId="3" borderId="0" xfId="0" applyFont="1" applyFill="1" applyBorder="1"/>
    <xf numFmtId="0" fontId="3" fillId="3" borderId="0" xfId="0" applyFont="1" applyFill="1" applyBorder="1"/>
    <xf numFmtId="1" fontId="3" fillId="3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" fontId="3" fillId="3" borderId="0" xfId="0" applyNumberFormat="1" applyFont="1" applyFill="1"/>
    <xf numFmtId="1" fontId="3" fillId="3" borderId="0" xfId="0" applyNumberFormat="1" applyFont="1" applyFill="1" applyBorder="1"/>
    <xf numFmtId="0" fontId="18" fillId="0" borderId="0" xfId="0" applyFont="1"/>
    <xf numFmtId="165" fontId="19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0" fontId="20" fillId="5" borderId="1" xfId="0" applyFont="1" applyFill="1" applyBorder="1" applyAlignment="1">
      <alignment horizontal="center" vertical="center"/>
    </xf>
    <xf numFmtId="165" fontId="20" fillId="5" borderId="1" xfId="1" applyNumberFormat="1" applyFont="1" applyFill="1" applyBorder="1" applyAlignment="1">
      <alignment horizontal="center" vertical="center"/>
    </xf>
    <xf numFmtId="0" fontId="18" fillId="6" borderId="1" xfId="0" applyFont="1" applyFill="1" applyBorder="1"/>
    <xf numFmtId="0" fontId="21" fillId="5" borderId="1" xfId="0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1" fontId="21" fillId="5" borderId="1" xfId="0" applyNumberFormat="1" applyFont="1" applyFill="1" applyBorder="1" applyAlignment="1">
      <alignment horizontal="center"/>
    </xf>
    <xf numFmtId="1" fontId="22" fillId="5" borderId="1" xfId="0" applyNumberFormat="1" applyFont="1" applyFill="1" applyBorder="1" applyAlignment="1">
      <alignment horizontal="center"/>
    </xf>
    <xf numFmtId="1" fontId="23" fillId="5" borderId="1" xfId="0" applyNumberFormat="1" applyFont="1" applyFill="1" applyBorder="1" applyAlignment="1">
      <alignment horizontal="center"/>
    </xf>
    <xf numFmtId="0" fontId="23" fillId="5" borderId="1" xfId="0" applyFont="1" applyFill="1" applyBorder="1" applyAlignment="1">
      <alignment horizontal="center"/>
    </xf>
    <xf numFmtId="0" fontId="23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3" fillId="0" borderId="0" xfId="0" applyFont="1"/>
    <xf numFmtId="0" fontId="3" fillId="6" borderId="1" xfId="0" applyFont="1" applyFill="1" applyBorder="1" applyAlignment="1">
      <alignment horizontal="center" vertical="center"/>
    </xf>
    <xf numFmtId="0" fontId="18" fillId="6" borderId="1" xfId="0" applyFont="1" applyFill="1" applyBorder="1" applyProtection="1">
      <protection hidden="1"/>
    </xf>
    <xf numFmtId="0" fontId="22" fillId="7" borderId="1" xfId="0" applyFont="1" applyFill="1" applyBorder="1" applyAlignment="1" applyProtection="1">
      <alignment horizontal="center" vertical="center"/>
      <protection hidden="1"/>
    </xf>
    <xf numFmtId="165" fontId="22" fillId="7" borderId="1" xfId="1" applyNumberFormat="1" applyFont="1" applyFill="1" applyBorder="1" applyAlignment="1" applyProtection="1">
      <alignment horizontal="center" vertical="center"/>
      <protection hidden="1"/>
    </xf>
    <xf numFmtId="165" fontId="18" fillId="6" borderId="1" xfId="1" applyNumberFormat="1" applyFont="1" applyFill="1" applyBorder="1" applyAlignment="1" applyProtection="1">
      <alignment horizontal="center" vertical="center"/>
      <protection hidden="1"/>
    </xf>
    <xf numFmtId="167" fontId="18" fillId="6" borderId="1" xfId="1" applyNumberFormat="1" applyFont="1" applyFill="1" applyBorder="1" applyAlignment="1" applyProtection="1">
      <alignment vertical="center" wrapText="1"/>
      <protection hidden="1"/>
    </xf>
    <xf numFmtId="166" fontId="18" fillId="6" borderId="1" xfId="3" applyNumberFormat="1" applyFont="1" applyFill="1" applyBorder="1" applyAlignment="1" applyProtection="1">
      <alignment vertical="center" wrapText="1"/>
      <protection hidden="1"/>
    </xf>
    <xf numFmtId="164" fontId="18" fillId="6" borderId="1" xfId="1" applyNumberFormat="1" applyFont="1" applyFill="1" applyBorder="1" applyAlignment="1" applyProtection="1">
      <alignment vertical="center" wrapText="1"/>
      <protection hidden="1"/>
    </xf>
    <xf numFmtId="167" fontId="18" fillId="6" borderId="1" xfId="1" applyNumberFormat="1" applyFont="1" applyFill="1" applyBorder="1" applyAlignment="1" applyProtection="1">
      <alignment vertical="center"/>
      <protection hidden="1"/>
    </xf>
    <xf numFmtId="165" fontId="0" fillId="0" borderId="0" xfId="0" applyNumberFormat="1"/>
    <xf numFmtId="0" fontId="31" fillId="5" borderId="0" xfId="0" applyFont="1" applyFill="1" applyAlignment="1">
      <alignment wrapText="1"/>
    </xf>
    <xf numFmtId="165" fontId="18" fillId="4" borderId="1" xfId="1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Protection="1">
      <protection locked="0"/>
    </xf>
    <xf numFmtId="1" fontId="7" fillId="4" borderId="1" xfId="0" applyNumberFormat="1" applyFont="1" applyFill="1" applyBorder="1" applyAlignment="1" applyProtection="1">
      <alignment horizontal="center" vertical="center"/>
      <protection locked="0"/>
    </xf>
    <xf numFmtId="1" fontId="7" fillId="4" borderId="1" xfId="0" applyNumberFormat="1" applyFont="1" applyFill="1" applyBorder="1" applyAlignment="1" applyProtection="1">
      <alignment horizontal="center"/>
      <protection locked="0"/>
    </xf>
    <xf numFmtId="1" fontId="3" fillId="4" borderId="1" xfId="0" applyNumberFormat="1" applyFont="1" applyFill="1" applyBorder="1" applyAlignment="1" applyProtection="1">
      <alignment horizontal="center"/>
      <protection locked="0"/>
    </xf>
    <xf numFmtId="0" fontId="3" fillId="4" borderId="1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2" fillId="8" borderId="0" xfId="0" applyFont="1" applyFill="1" applyBorder="1" applyAlignment="1">
      <alignment horizontal="right"/>
    </xf>
    <xf numFmtId="0" fontId="31" fillId="5" borderId="0" xfId="0" applyFont="1" applyFill="1" applyAlignment="1">
      <alignment horizontal="center" wrapText="1"/>
    </xf>
    <xf numFmtId="0" fontId="34" fillId="3" borderId="0" xfId="0" applyFont="1" applyFill="1" applyBorder="1"/>
    <xf numFmtId="1" fontId="34" fillId="3" borderId="0" xfId="0" applyNumberFormat="1" applyFont="1" applyFill="1" applyBorder="1"/>
    <xf numFmtId="0" fontId="35" fillId="3" borderId="0" xfId="0" applyFont="1" applyFill="1" applyBorder="1"/>
    <xf numFmtId="0" fontId="36" fillId="3" borderId="0" xfId="0" applyFont="1" applyFill="1" applyBorder="1"/>
    <xf numFmtId="0" fontId="34" fillId="3" borderId="0" xfId="0" applyFont="1" applyFill="1" applyBorder="1" applyAlignment="1">
      <alignment horizontal="center"/>
    </xf>
    <xf numFmtId="168" fontId="34" fillId="3" borderId="0" xfId="0" applyNumberFormat="1" applyFont="1" applyFill="1" applyBorder="1"/>
    <xf numFmtId="2" fontId="34" fillId="3" borderId="0" xfId="0" applyNumberFormat="1" applyFont="1" applyFill="1" applyBorder="1"/>
    <xf numFmtId="0" fontId="37" fillId="3" borderId="0" xfId="0" applyFont="1" applyFill="1" applyBorder="1"/>
    <xf numFmtId="0" fontId="34" fillId="3" borderId="0" xfId="0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horizontal="center"/>
    </xf>
    <xf numFmtId="1" fontId="37" fillId="3" borderId="0" xfId="0" applyNumberFormat="1" applyFont="1" applyFill="1" applyBorder="1"/>
    <xf numFmtId="0" fontId="19" fillId="3" borderId="0" xfId="0" applyFont="1" applyFill="1" applyBorder="1"/>
    <xf numFmtId="0" fontId="37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left"/>
    </xf>
    <xf numFmtId="1" fontId="34" fillId="3" borderId="0" xfId="0" applyNumberFormat="1" applyFont="1" applyFill="1" applyBorder="1" applyAlignment="1">
      <alignment horizontal="center"/>
    </xf>
    <xf numFmtId="0" fontId="34" fillId="3" borderId="0" xfId="0" applyFont="1" applyFill="1" applyBorder="1" applyAlignment="1"/>
    <xf numFmtId="167" fontId="34" fillId="3" borderId="0" xfId="1" applyNumberFormat="1" applyFont="1" applyFill="1" applyBorder="1"/>
    <xf numFmtId="165" fontId="34" fillId="3" borderId="0" xfId="1" applyNumberFormat="1" applyFont="1" applyFill="1" applyBorder="1"/>
    <xf numFmtId="169" fontId="34" fillId="3" borderId="0" xfId="1" applyNumberFormat="1" applyFont="1" applyFill="1" applyBorder="1"/>
    <xf numFmtId="170" fontId="34" fillId="3" borderId="0" xfId="0" applyNumberFormat="1" applyFont="1" applyFill="1" applyBorder="1"/>
    <xf numFmtId="167" fontId="34" fillId="3" borderId="0" xfId="0" applyNumberFormat="1" applyFont="1" applyFill="1" applyBorder="1"/>
    <xf numFmtId="43" fontId="34" fillId="3" borderId="0" xfId="0" applyNumberFormat="1" applyFont="1" applyFill="1" applyBorder="1"/>
    <xf numFmtId="1" fontId="37" fillId="3" borderId="0" xfId="0" applyNumberFormat="1" applyFont="1" applyFill="1" applyBorder="1" applyAlignment="1">
      <alignment horizontal="center"/>
    </xf>
    <xf numFmtId="0" fontId="34" fillId="3" borderId="0" xfId="0" applyFont="1" applyFill="1" applyBorder="1" applyAlignment="1">
      <alignment horizontal="right"/>
    </xf>
    <xf numFmtId="165" fontId="20" fillId="5" borderId="0" xfId="1" applyNumberFormat="1" applyFont="1" applyFill="1" applyBorder="1" applyAlignment="1">
      <alignment horizontal="center" vertical="center"/>
    </xf>
    <xf numFmtId="0" fontId="17" fillId="6" borderId="0" xfId="2" applyFill="1" applyAlignment="1">
      <alignment vertical="center" wrapText="1"/>
    </xf>
    <xf numFmtId="0" fontId="24" fillId="6" borderId="0" xfId="2" applyFont="1" applyFill="1" applyAlignment="1">
      <alignment vertical="center" wrapText="1"/>
    </xf>
    <xf numFmtId="0" fontId="28" fillId="6" borderId="0" xfId="0" applyFont="1" applyFill="1" applyAlignment="1">
      <alignment horizontal="center" wrapText="1"/>
    </xf>
    <xf numFmtId="0" fontId="17" fillId="6" borderId="0" xfId="2" applyFill="1" applyAlignment="1">
      <alignment horizontal="center" vertical="center" wrapText="1"/>
    </xf>
    <xf numFmtId="0" fontId="32" fillId="8" borderId="0" xfId="0" applyFont="1" applyFill="1" applyBorder="1" applyAlignment="1">
      <alignment horizontal="right"/>
    </xf>
    <xf numFmtId="0" fontId="31" fillId="5" borderId="0" xfId="0" applyFont="1" applyFill="1" applyAlignment="1">
      <alignment horizontal="center" wrapText="1"/>
    </xf>
    <xf numFmtId="0" fontId="13" fillId="6" borderId="0" xfId="0" applyFont="1" applyFill="1" applyAlignment="1">
      <alignment horizontal="center" wrapText="1"/>
    </xf>
    <xf numFmtId="0" fontId="25" fillId="6" borderId="0" xfId="0" applyFont="1" applyFill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165" fontId="20" fillId="5" borderId="0" xfId="1" applyNumberFormat="1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/>
    </xf>
    <xf numFmtId="0" fontId="20" fillId="5" borderId="3" xfId="0" applyFont="1" applyFill="1" applyBorder="1" applyAlignment="1">
      <alignment horizontal="center"/>
    </xf>
    <xf numFmtId="0" fontId="22" fillId="5" borderId="0" xfId="0" applyFont="1" applyFill="1" applyAlignment="1">
      <alignment horizontal="center"/>
    </xf>
    <xf numFmtId="0" fontId="22" fillId="5" borderId="3" xfId="0" applyFont="1" applyFill="1" applyBorder="1" applyAlignment="1">
      <alignment horizontal="center"/>
    </xf>
    <xf numFmtId="0" fontId="23" fillId="5" borderId="0" xfId="0" applyFont="1" applyFill="1" applyAlignment="1">
      <alignment horizontal="center"/>
    </xf>
    <xf numFmtId="0" fontId="23" fillId="5" borderId="3" xfId="0" applyFont="1" applyFill="1" applyBorder="1" applyAlignment="1">
      <alignment horizontal="center"/>
    </xf>
    <xf numFmtId="0" fontId="29" fillId="6" borderId="1" xfId="0" applyFont="1" applyFill="1" applyBorder="1" applyAlignment="1">
      <alignment horizontal="center"/>
    </xf>
    <xf numFmtId="0" fontId="30" fillId="6" borderId="1" xfId="0" applyFont="1" applyFill="1" applyBorder="1" applyAlignment="1">
      <alignment horizontal="center"/>
    </xf>
    <xf numFmtId="0" fontId="27" fillId="6" borderId="1" xfId="0" applyFont="1" applyFill="1" applyBorder="1" applyAlignment="1">
      <alignment horizontal="center"/>
    </xf>
    <xf numFmtId="0" fontId="26" fillId="6" borderId="0" xfId="0" applyFont="1" applyFill="1" applyAlignment="1">
      <alignment horizontal="center" wrapText="1"/>
    </xf>
    <xf numFmtId="0" fontId="27" fillId="6" borderId="5" xfId="0" applyFont="1" applyFill="1" applyBorder="1" applyAlignment="1">
      <alignment horizontal="center"/>
    </xf>
    <xf numFmtId="0" fontId="27" fillId="6" borderId="6" xfId="0" applyFont="1" applyFill="1" applyBorder="1" applyAlignment="1">
      <alignment horizontal="center"/>
    </xf>
    <xf numFmtId="0" fontId="27" fillId="6" borderId="7" xfId="0" applyFont="1" applyFill="1" applyBorder="1" applyAlignment="1">
      <alignment horizont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522071</xdr:colOff>
      <xdr:row>0</xdr:row>
      <xdr:rowOff>42077</xdr:rowOff>
    </xdr:from>
    <xdr:to>
      <xdr:col>9</xdr:col>
      <xdr:colOff>550648</xdr:colOff>
      <xdr:row>0</xdr:row>
      <xdr:rowOff>1212596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FCC90C-D8C7-45AF-85F0-3BB2D7240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2125602" y="42077"/>
          <a:ext cx="1171577" cy="117051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henasname.ir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3"/>
  <sheetViews>
    <sheetView rightToLeft="1" tabSelected="1" view="pageBreakPreview" zoomScaleNormal="90" zoomScaleSheetLayoutView="100" workbookViewId="0">
      <selection activeCell="J35" sqref="J35"/>
    </sheetView>
  </sheetViews>
  <sheetFormatPr defaultRowHeight="12.75" x14ac:dyDescent="0.2"/>
  <cols>
    <col min="1" max="1" width="21.5703125" customWidth="1"/>
    <col min="6" max="6" width="37.85546875" bestFit="1" customWidth="1"/>
    <col min="7" max="7" width="15.42578125" bestFit="1" customWidth="1"/>
    <col min="8" max="8" width="18.85546875" bestFit="1" customWidth="1"/>
    <col min="9" max="9" width="17.140625" customWidth="1"/>
    <col min="10" max="10" width="16.85546875" bestFit="1" customWidth="1"/>
    <col min="11" max="11" width="11.140625" bestFit="1" customWidth="1"/>
  </cols>
  <sheetData>
    <row r="1" spans="1:12" s="9" customFormat="1" ht="96.75" customHeight="1" x14ac:dyDescent="0.75">
      <c r="A1" s="88" t="s">
        <v>121</v>
      </c>
      <c r="B1" s="88"/>
      <c r="C1" s="88"/>
      <c r="D1" s="88"/>
      <c r="E1" s="88"/>
      <c r="F1" s="88"/>
      <c r="G1" s="88"/>
      <c r="H1" s="88"/>
      <c r="I1" s="71"/>
      <c r="J1" s="71"/>
    </row>
    <row r="2" spans="1:12" s="9" customFormat="1" ht="21.75" customHeight="1" x14ac:dyDescent="0.65">
      <c r="A2" s="75" t="s">
        <v>137</v>
      </c>
      <c r="B2" s="76"/>
      <c r="C2" s="76"/>
      <c r="D2" s="76"/>
      <c r="E2" s="76"/>
      <c r="F2" s="76"/>
      <c r="G2" s="70"/>
      <c r="H2" s="69"/>
      <c r="I2" s="72" t="s">
        <v>129</v>
      </c>
      <c r="J2" s="72"/>
    </row>
    <row r="3" spans="1:12" s="9" customFormat="1" ht="3.75" customHeight="1" x14ac:dyDescent="0.75">
      <c r="A3" s="34"/>
      <c r="B3" s="34"/>
      <c r="C3" s="34"/>
      <c r="D3" s="34"/>
      <c r="E3" s="34"/>
      <c r="F3" s="34"/>
      <c r="G3" s="74"/>
      <c r="H3" s="74"/>
      <c r="I3" s="74"/>
      <c r="J3" s="43"/>
    </row>
    <row r="4" spans="1:12" x14ac:dyDescent="0.2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2" ht="22.5" x14ac:dyDescent="0.65">
      <c r="A5" s="79" t="s">
        <v>101</v>
      </c>
      <c r="B5" s="80"/>
      <c r="C5" s="36" t="s">
        <v>4</v>
      </c>
      <c r="D5" s="11"/>
      <c r="E5" s="11"/>
      <c r="F5" s="11"/>
      <c r="G5" s="11"/>
      <c r="H5" s="78" t="s">
        <v>74</v>
      </c>
      <c r="I5" s="78"/>
      <c r="J5" s="78"/>
    </row>
    <row r="6" spans="1:12" ht="22.5" x14ac:dyDescent="0.55000000000000004">
      <c r="A6" s="3"/>
      <c r="B6" s="10">
        <f>IF(C5=A11,"1",+IF(C5=A12,2,+IF(C5=A13,"3",+IF(C5=A14,4,+IF(C5=A15,5,+IF(C5=A16,6,0))))))</f>
        <v>4</v>
      </c>
      <c r="C6" s="2"/>
      <c r="D6" s="11"/>
      <c r="E6" s="11"/>
      <c r="F6" s="12" t="s">
        <v>72</v>
      </c>
      <c r="G6" s="13" t="s">
        <v>73</v>
      </c>
      <c r="H6" s="13" t="s">
        <v>134</v>
      </c>
      <c r="I6" s="13" t="s">
        <v>135</v>
      </c>
      <c r="J6" s="68" t="s">
        <v>138</v>
      </c>
    </row>
    <row r="7" spans="1:12" ht="22.5" x14ac:dyDescent="0.65">
      <c r="A7" s="81" t="s">
        <v>66</v>
      </c>
      <c r="B7" s="82"/>
      <c r="C7" s="37">
        <v>0</v>
      </c>
      <c r="D7" s="11"/>
      <c r="E7" s="11"/>
      <c r="F7" s="25" t="s">
        <v>23</v>
      </c>
      <c r="G7" s="35">
        <v>1000000</v>
      </c>
      <c r="H7" s="28">
        <f>'sheet 2'!P6*'sheet 2'!P3</f>
        <v>1060176.9911504425</v>
      </c>
      <c r="I7" s="28">
        <f>'sheet 2'!V34</f>
        <v>112294.16722807426</v>
      </c>
      <c r="J7" s="29">
        <f>H7+'sheet 2'!V34</f>
        <v>1172471.1583785168</v>
      </c>
      <c r="K7" s="33"/>
    </row>
    <row r="8" spans="1:12" ht="22.5" x14ac:dyDescent="0.65">
      <c r="A8" s="11"/>
      <c r="B8" s="11"/>
      <c r="C8" s="2"/>
      <c r="D8" s="2"/>
      <c r="E8" s="2"/>
      <c r="F8" s="25" t="s">
        <v>75</v>
      </c>
      <c r="G8" s="35">
        <v>0</v>
      </c>
      <c r="H8" s="28">
        <f>'sheet 2'!P7*'sheet 2'!P3</f>
        <v>0</v>
      </c>
      <c r="I8" s="28">
        <f>'sheet 2'!V35</f>
        <v>0</v>
      </c>
      <c r="J8" s="29">
        <f>H8+'sheet 2'!V35</f>
        <v>0</v>
      </c>
      <c r="K8" s="33"/>
    </row>
    <row r="9" spans="1:12" ht="22.5" x14ac:dyDescent="0.65">
      <c r="A9" s="87" t="s">
        <v>67</v>
      </c>
      <c r="B9" s="87"/>
      <c r="C9" s="87"/>
      <c r="D9" s="87"/>
      <c r="E9" s="4"/>
      <c r="F9" s="25" t="s">
        <v>97</v>
      </c>
      <c r="G9" s="35">
        <v>0</v>
      </c>
      <c r="H9" s="28">
        <f>'sheet 3'!B17*'sheet 2'!P3</f>
        <v>794274</v>
      </c>
      <c r="I9" s="28">
        <f>'sheet 2'!V36</f>
        <v>84129.66714560095</v>
      </c>
      <c r="J9" s="29">
        <f>H9+'sheet 2'!V36</f>
        <v>878403.66714560101</v>
      </c>
      <c r="K9" s="33"/>
    </row>
    <row r="10" spans="1:12" ht="22.5" x14ac:dyDescent="0.65">
      <c r="A10" s="15" t="s">
        <v>125</v>
      </c>
      <c r="B10" s="16" t="s">
        <v>11</v>
      </c>
      <c r="C10" s="16" t="s">
        <v>12</v>
      </c>
      <c r="D10" s="16" t="s">
        <v>13</v>
      </c>
      <c r="E10" s="4"/>
      <c r="F10" s="25" t="s">
        <v>76</v>
      </c>
      <c r="G10" s="35">
        <v>0</v>
      </c>
      <c r="H10" s="28">
        <f>G10</f>
        <v>0</v>
      </c>
      <c r="I10" s="28"/>
      <c r="J10" s="29">
        <f>H10</f>
        <v>0</v>
      </c>
      <c r="K10" s="33"/>
    </row>
    <row r="11" spans="1:12" ht="22.5" x14ac:dyDescent="0.65">
      <c r="A11" s="24" t="s">
        <v>1</v>
      </c>
      <c r="B11" s="37"/>
      <c r="C11" s="37"/>
      <c r="D11" s="38"/>
      <c r="E11" s="5"/>
      <c r="F11" s="25" t="s">
        <v>77</v>
      </c>
      <c r="G11" s="35">
        <v>0</v>
      </c>
      <c r="H11" s="28">
        <f>'sheet 2'!P10*'sheet 2'!P3</f>
        <v>0</v>
      </c>
      <c r="I11" s="28">
        <f>'sheet 2'!V37</f>
        <v>0</v>
      </c>
      <c r="J11" s="29">
        <f>H11+'sheet 2'!V37</f>
        <v>0</v>
      </c>
      <c r="K11" s="33"/>
    </row>
    <row r="12" spans="1:12" ht="22.5" x14ac:dyDescent="0.65">
      <c r="A12" s="24" t="s">
        <v>2</v>
      </c>
      <c r="B12" s="37"/>
      <c r="C12" s="37"/>
      <c r="D12" s="38"/>
      <c r="E12" s="5"/>
      <c r="F12" s="25" t="s">
        <v>78</v>
      </c>
      <c r="G12" s="35">
        <v>0</v>
      </c>
      <c r="H12" s="28">
        <f>(H7+H8+H9+H11+H13+H15)*'sheet 2'!P11/100</f>
        <v>0</v>
      </c>
      <c r="I12" s="28">
        <f>'sheet 2'!V38</f>
        <v>0</v>
      </c>
      <c r="J12" s="29">
        <f>H12+'sheet 2'!V38</f>
        <v>0</v>
      </c>
      <c r="K12" s="33"/>
    </row>
    <row r="13" spans="1:12" ht="22.5" x14ac:dyDescent="0.65">
      <c r="A13" s="24" t="s">
        <v>3</v>
      </c>
      <c r="B13" s="38"/>
      <c r="C13" s="38"/>
      <c r="D13" s="38"/>
      <c r="E13" s="5"/>
      <c r="F13" s="25" t="s">
        <v>79</v>
      </c>
      <c r="G13" s="35"/>
      <c r="H13" s="28">
        <f>'sheet 2'!P12*'sheet 2'!P3</f>
        <v>0</v>
      </c>
      <c r="I13" s="28">
        <f>'sheet 2'!V39</f>
        <v>0</v>
      </c>
      <c r="J13" s="29">
        <f>H13+'sheet 2'!V39</f>
        <v>0</v>
      </c>
      <c r="K13" s="33"/>
    </row>
    <row r="14" spans="1:12" ht="22.5" x14ac:dyDescent="0.65">
      <c r="A14" s="24" t="s">
        <v>4</v>
      </c>
      <c r="B14" s="38"/>
      <c r="C14" s="38"/>
      <c r="D14" s="38"/>
      <c r="E14" s="5"/>
      <c r="F14" s="25" t="s">
        <v>80</v>
      </c>
      <c r="G14" s="35"/>
      <c r="H14" s="28">
        <f>IF(G14=2587500,2807500,0)</f>
        <v>0</v>
      </c>
      <c r="I14" s="28"/>
      <c r="J14" s="29">
        <f>H14</f>
        <v>0</v>
      </c>
      <c r="K14" s="33"/>
    </row>
    <row r="15" spans="1:12" ht="22.5" x14ac:dyDescent="0.65">
      <c r="A15" s="24" t="s">
        <v>5</v>
      </c>
      <c r="B15" s="38"/>
      <c r="C15" s="38"/>
      <c r="D15" s="38"/>
      <c r="E15" s="5"/>
      <c r="F15" s="25" t="s">
        <v>81</v>
      </c>
      <c r="G15" s="35"/>
      <c r="H15" s="28">
        <f>'sheet 2'!P14*'sheet 2'!P3</f>
        <v>0</v>
      </c>
      <c r="I15" s="28">
        <f>'sheet 2'!V40</f>
        <v>0</v>
      </c>
      <c r="J15" s="29">
        <f>H15+'sheet 2'!V40</f>
        <v>0</v>
      </c>
      <c r="K15" s="33"/>
      <c r="L15" s="1"/>
    </row>
    <row r="16" spans="1:12" ht="22.5" x14ac:dyDescent="0.65">
      <c r="A16" s="24" t="s">
        <v>6</v>
      </c>
      <c r="B16" s="37"/>
      <c r="C16" s="37"/>
      <c r="D16" s="38"/>
      <c r="E16" s="5"/>
      <c r="F16" s="25" t="s">
        <v>82</v>
      </c>
      <c r="G16" s="35"/>
      <c r="H16" s="28">
        <f>'sheet 2'!P15*'sheet 2'!P3</f>
        <v>0</v>
      </c>
      <c r="I16" s="28"/>
      <c r="J16" s="29">
        <f>H16</f>
        <v>0</v>
      </c>
      <c r="K16" s="33"/>
    </row>
    <row r="17" spans="1:11" ht="22.5" x14ac:dyDescent="0.65">
      <c r="A17" s="17" t="s">
        <v>70</v>
      </c>
      <c r="B17" s="18">
        <f>'sheet 2'!J37</f>
        <v>0</v>
      </c>
      <c r="C17" s="18">
        <f>'sheet 2'!K37</f>
        <v>0</v>
      </c>
      <c r="D17" s="18">
        <f>'sheet 2'!L37</f>
        <v>0</v>
      </c>
      <c r="E17" s="4"/>
      <c r="F17" s="25" t="s">
        <v>83</v>
      </c>
      <c r="G17" s="35"/>
      <c r="H17" s="28">
        <f>'sheet 2'!P16*'sheet 2'!P3</f>
        <v>0</v>
      </c>
      <c r="I17" s="28"/>
      <c r="J17" s="29">
        <f>H17</f>
        <v>0</v>
      </c>
      <c r="K17" s="33"/>
    </row>
    <row r="18" spans="1:11" ht="22.5" x14ac:dyDescent="0.65">
      <c r="A18" s="2"/>
      <c r="B18" s="6"/>
      <c r="C18" s="2"/>
      <c r="D18" s="2"/>
      <c r="E18" s="4"/>
      <c r="F18" s="25" t="s">
        <v>114</v>
      </c>
      <c r="G18" s="35">
        <v>0</v>
      </c>
      <c r="H18" s="28">
        <f>G18</f>
        <v>0</v>
      </c>
      <c r="I18" s="28"/>
      <c r="J18" s="29">
        <f>H18</f>
        <v>0</v>
      </c>
      <c r="K18" s="33"/>
    </row>
    <row r="19" spans="1:11" ht="22.5" x14ac:dyDescent="0.65">
      <c r="A19" s="85" t="s">
        <v>68</v>
      </c>
      <c r="B19" s="85"/>
      <c r="C19" s="85"/>
      <c r="D19" s="85"/>
      <c r="E19" s="4"/>
      <c r="F19" s="25" t="s">
        <v>85</v>
      </c>
      <c r="G19" s="35"/>
      <c r="H19" s="28">
        <f>(H7+H8+H9)*'sheet 2'!P18/100</f>
        <v>0</v>
      </c>
      <c r="I19" s="28"/>
      <c r="J19" s="29">
        <f>H19</f>
        <v>0</v>
      </c>
      <c r="K19" s="33"/>
    </row>
    <row r="20" spans="1:11" ht="22.5" x14ac:dyDescent="0.65">
      <c r="A20" s="15" t="s">
        <v>15</v>
      </c>
      <c r="B20" s="16" t="s">
        <v>11</v>
      </c>
      <c r="C20" s="16" t="s">
        <v>12</v>
      </c>
      <c r="D20" s="16" t="s">
        <v>13</v>
      </c>
      <c r="E20" s="4"/>
      <c r="F20" s="25" t="s">
        <v>86</v>
      </c>
      <c r="G20" s="35"/>
      <c r="H20" s="28">
        <f>(H8+H9+H7)*'sheet 2'!P19/100</f>
        <v>0</v>
      </c>
      <c r="I20" s="28"/>
      <c r="J20" s="29">
        <f>H20</f>
        <v>0</v>
      </c>
      <c r="K20" s="33"/>
    </row>
    <row r="21" spans="1:11" ht="22.5" x14ac:dyDescent="0.65">
      <c r="A21" s="24" t="s">
        <v>1</v>
      </c>
      <c r="B21" s="37"/>
      <c r="C21" s="37"/>
      <c r="D21" s="38"/>
      <c r="E21" s="5"/>
      <c r="F21" s="25" t="s">
        <v>94</v>
      </c>
      <c r="G21" s="35"/>
      <c r="H21" s="28">
        <f>'sheet 2'!P20*'sheet 2'!P3</f>
        <v>0</v>
      </c>
      <c r="I21" s="28">
        <f>'sheet 2'!V41</f>
        <v>0</v>
      </c>
      <c r="J21" s="29">
        <f>H21+'sheet 2'!V41</f>
        <v>0</v>
      </c>
      <c r="K21" s="33"/>
    </row>
    <row r="22" spans="1:11" ht="22.5" x14ac:dyDescent="0.65">
      <c r="A22" s="24" t="s">
        <v>2</v>
      </c>
      <c r="B22" s="37"/>
      <c r="C22" s="37"/>
      <c r="D22" s="38"/>
      <c r="E22" s="5"/>
      <c r="F22" s="25" t="s">
        <v>95</v>
      </c>
      <c r="G22" s="35"/>
      <c r="H22" s="28">
        <f>'sheet 2'!P21*'sheet 2'!P3</f>
        <v>0</v>
      </c>
      <c r="I22" s="28">
        <f>'sheet 2'!U42</f>
        <v>0</v>
      </c>
      <c r="J22" s="29">
        <f>H22+'sheet 2'!V42</f>
        <v>0</v>
      </c>
      <c r="K22" s="33"/>
    </row>
    <row r="23" spans="1:11" ht="22.5" x14ac:dyDescent="0.65">
      <c r="A23" s="24" t="s">
        <v>3</v>
      </c>
      <c r="B23" s="38"/>
      <c r="C23" s="38"/>
      <c r="D23" s="38"/>
      <c r="E23" s="5"/>
      <c r="F23" s="25" t="s">
        <v>123</v>
      </c>
      <c r="G23" s="35"/>
      <c r="H23" s="28">
        <f>'sheet 2'!P26</f>
        <v>10369125.174475882</v>
      </c>
      <c r="I23" s="28"/>
      <c r="J23" s="29">
        <f>H23</f>
        <v>10369125.174475882</v>
      </c>
      <c r="K23" s="33"/>
    </row>
    <row r="24" spans="1:11" ht="22.5" x14ac:dyDescent="0.65">
      <c r="A24" s="24" t="s">
        <v>4</v>
      </c>
      <c r="B24" s="38"/>
      <c r="C24" s="38"/>
      <c r="D24" s="38"/>
      <c r="E24" s="5"/>
      <c r="F24" s="26" t="s">
        <v>87</v>
      </c>
      <c r="G24" s="27">
        <f>SUM(G7:G23)</f>
        <v>1000000</v>
      </c>
      <c r="H24" s="27">
        <f>SUM(H7:H23)</f>
        <v>12223576.165626325</v>
      </c>
      <c r="I24" s="27">
        <f>SUM(I7:I23)</f>
        <v>196423.83437367523</v>
      </c>
      <c r="J24" s="27">
        <f>SUM(J7:J23)</f>
        <v>12420000</v>
      </c>
      <c r="K24" s="33"/>
    </row>
    <row r="25" spans="1:11" ht="22.5" x14ac:dyDescent="0.65">
      <c r="A25" s="24" t="s">
        <v>5</v>
      </c>
      <c r="B25" s="38"/>
      <c r="C25" s="38"/>
      <c r="D25" s="38"/>
      <c r="E25" s="5"/>
      <c r="F25" s="4"/>
      <c r="G25" s="4"/>
      <c r="H25" s="4"/>
    </row>
    <row r="26" spans="1:11" ht="22.5" x14ac:dyDescent="0.65">
      <c r="A26" s="24" t="s">
        <v>6</v>
      </c>
      <c r="B26" s="37"/>
      <c r="C26" s="37"/>
      <c r="D26" s="38"/>
      <c r="E26" s="5"/>
      <c r="F26" s="14" t="s">
        <v>96</v>
      </c>
      <c r="G26" s="29">
        <f>'sheet 2'!P22</f>
        <v>11420000</v>
      </c>
      <c r="H26" s="4"/>
      <c r="I26" s="8"/>
      <c r="J26" s="8"/>
    </row>
    <row r="27" spans="1:11" ht="22.5" x14ac:dyDescent="0.65">
      <c r="A27" s="19" t="s">
        <v>71</v>
      </c>
      <c r="B27" s="18">
        <f>'sheet 2'!J47</f>
        <v>0</v>
      </c>
      <c r="C27" s="18">
        <f>'sheet 2'!K47</f>
        <v>0</v>
      </c>
      <c r="D27" s="18">
        <f>'sheet 2'!L47</f>
        <v>0</v>
      </c>
      <c r="E27" s="4"/>
      <c r="F27" s="14" t="s">
        <v>122</v>
      </c>
      <c r="G27" s="30">
        <f>G26/G24</f>
        <v>11.42</v>
      </c>
      <c r="H27" s="4"/>
      <c r="I27" s="8"/>
      <c r="J27" s="8"/>
    </row>
    <row r="28" spans="1:11" ht="22.5" x14ac:dyDescent="0.65">
      <c r="A28" s="2"/>
      <c r="B28" s="7"/>
      <c r="C28" s="7"/>
      <c r="D28" s="8"/>
      <c r="E28" s="4"/>
      <c r="F28" s="14" t="s">
        <v>102</v>
      </c>
      <c r="G28" s="31">
        <f>'sheet 2'!T44</f>
        <v>10.592020781946903</v>
      </c>
      <c r="H28" s="4"/>
      <c r="I28" s="8"/>
      <c r="J28" s="8"/>
    </row>
    <row r="29" spans="1:11" ht="18.75" x14ac:dyDescent="0.55000000000000004">
      <c r="A29" s="2"/>
      <c r="B29" s="7"/>
      <c r="C29" s="7"/>
      <c r="D29" s="8"/>
      <c r="E29" s="4"/>
      <c r="H29" s="4"/>
      <c r="I29" s="8"/>
      <c r="J29" s="8"/>
    </row>
    <row r="30" spans="1:11" ht="21" x14ac:dyDescent="0.6">
      <c r="A30" s="86" t="s">
        <v>115</v>
      </c>
      <c r="B30" s="86"/>
      <c r="C30" s="86"/>
      <c r="D30" s="86"/>
      <c r="E30" s="4"/>
      <c r="F30" s="8"/>
      <c r="G30" s="8"/>
      <c r="H30" s="4"/>
      <c r="I30" s="8"/>
      <c r="J30" s="8"/>
    </row>
    <row r="31" spans="1:11" ht="22.5" x14ac:dyDescent="0.65">
      <c r="A31" s="22" t="s">
        <v>18</v>
      </c>
      <c r="B31" s="20" t="s">
        <v>11</v>
      </c>
      <c r="C31" s="20" t="s">
        <v>12</v>
      </c>
      <c r="D31" s="20" t="s">
        <v>13</v>
      </c>
      <c r="E31" s="4"/>
      <c r="F31" s="89" t="s">
        <v>119</v>
      </c>
      <c r="G31" s="90"/>
      <c r="H31" s="91"/>
      <c r="I31" s="8"/>
      <c r="J31" s="8"/>
    </row>
    <row r="32" spans="1:11" ht="22.5" x14ac:dyDescent="0.55000000000000004">
      <c r="A32" s="24" t="s">
        <v>19</v>
      </c>
      <c r="B32" s="39"/>
      <c r="C32" s="39"/>
      <c r="D32" s="39"/>
      <c r="E32" s="4"/>
      <c r="F32" s="12" t="s">
        <v>72</v>
      </c>
      <c r="G32" s="13" t="s">
        <v>106</v>
      </c>
      <c r="H32" s="13" t="s">
        <v>107</v>
      </c>
      <c r="I32" s="8"/>
      <c r="J32" s="8"/>
    </row>
    <row r="33" spans="1:10" ht="22.5" x14ac:dyDescent="0.65">
      <c r="A33" s="24" t="s">
        <v>20</v>
      </c>
      <c r="B33" s="39"/>
      <c r="C33" s="39"/>
      <c r="D33" s="39"/>
      <c r="E33" s="4"/>
      <c r="F33" s="14" t="s">
        <v>110</v>
      </c>
      <c r="G33" s="29">
        <f>ROUND((G7+G8+G9)/176,0)</f>
        <v>5682</v>
      </c>
      <c r="H33" s="29">
        <f>ROUND((H7+H8+H9)/176,0)</f>
        <v>10537</v>
      </c>
      <c r="I33" s="8"/>
      <c r="J33" s="8"/>
    </row>
    <row r="34" spans="1:10" ht="22.5" x14ac:dyDescent="0.65">
      <c r="A34" s="4"/>
      <c r="B34" s="4"/>
      <c r="C34" s="4"/>
      <c r="D34" s="4"/>
      <c r="E34" s="4"/>
      <c r="F34" s="14" t="s">
        <v>91</v>
      </c>
      <c r="G34" s="29">
        <f>6500*'sheet 2'!P2</f>
        <v>11017500</v>
      </c>
      <c r="H34" s="29">
        <f>6500*'sheet 2'!P3</f>
        <v>11680500</v>
      </c>
      <c r="I34" s="8"/>
      <c r="J34" s="8"/>
    </row>
    <row r="35" spans="1:10" ht="22.5" x14ac:dyDescent="0.65">
      <c r="A35" s="83" t="s">
        <v>69</v>
      </c>
      <c r="B35" s="83"/>
      <c r="C35" s="84"/>
      <c r="D35" s="40">
        <v>1</v>
      </c>
      <c r="E35" s="4"/>
      <c r="F35" s="14" t="s">
        <v>92</v>
      </c>
      <c r="G35" s="29">
        <f>5000*'sheet 2'!P2</f>
        <v>8475000</v>
      </c>
      <c r="H35" s="29">
        <f>5000*'sheet 2'!P3</f>
        <v>8985000</v>
      </c>
      <c r="I35" s="8"/>
      <c r="J35" s="8"/>
    </row>
    <row r="36" spans="1:10" ht="22.5" x14ac:dyDescent="0.65">
      <c r="A36" s="4"/>
      <c r="B36" s="4"/>
      <c r="C36" s="4"/>
      <c r="D36" s="4"/>
      <c r="E36" s="4"/>
      <c r="F36" s="14" t="s">
        <v>93</v>
      </c>
      <c r="G36" s="29">
        <f>G33*2</f>
        <v>11364</v>
      </c>
      <c r="H36" s="29">
        <f>H33*2</f>
        <v>21074</v>
      </c>
      <c r="I36" s="8"/>
      <c r="J36" s="8"/>
    </row>
    <row r="37" spans="1:10" ht="22.5" x14ac:dyDescent="0.65">
      <c r="A37" s="77" t="s">
        <v>120</v>
      </c>
      <c r="B37" s="77"/>
      <c r="C37" s="77"/>
      <c r="D37" s="77"/>
      <c r="E37" s="4"/>
      <c r="F37" s="14" t="s">
        <v>103</v>
      </c>
      <c r="G37" s="29">
        <v>300000</v>
      </c>
      <c r="H37" s="29">
        <v>300000</v>
      </c>
      <c r="I37" s="8"/>
      <c r="J37" s="8"/>
    </row>
    <row r="38" spans="1:10" ht="22.5" x14ac:dyDescent="0.65">
      <c r="A38" s="21"/>
      <c r="B38" s="21" t="s">
        <v>11</v>
      </c>
      <c r="C38" s="21" t="s">
        <v>12</v>
      </c>
      <c r="D38" s="21" t="s">
        <v>13</v>
      </c>
      <c r="E38" s="4"/>
      <c r="F38" s="14" t="s">
        <v>104</v>
      </c>
      <c r="G38" s="29">
        <v>950000</v>
      </c>
      <c r="H38" s="29">
        <v>1000000</v>
      </c>
      <c r="I38" s="8"/>
      <c r="J38" s="8"/>
    </row>
    <row r="39" spans="1:10" ht="22.5" x14ac:dyDescent="0.65">
      <c r="A39" s="24" t="s">
        <v>99</v>
      </c>
      <c r="B39" s="41">
        <v>1</v>
      </c>
      <c r="C39" s="41">
        <v>1</v>
      </c>
      <c r="D39" s="41">
        <v>1397</v>
      </c>
      <c r="E39" s="4"/>
      <c r="F39" s="14" t="s">
        <v>108</v>
      </c>
      <c r="G39" s="29">
        <v>1200000</v>
      </c>
      <c r="H39" s="29">
        <v>1260000</v>
      </c>
      <c r="I39" s="8"/>
      <c r="J39" s="8"/>
    </row>
    <row r="40" spans="1:10" ht="22.5" x14ac:dyDescent="0.65">
      <c r="A40" s="24" t="s">
        <v>100</v>
      </c>
      <c r="B40" s="41">
        <v>5</v>
      </c>
      <c r="C40" s="41">
        <v>1</v>
      </c>
      <c r="D40" s="41">
        <v>1385</v>
      </c>
      <c r="E40" s="4"/>
      <c r="F40" s="14" t="s">
        <v>105</v>
      </c>
      <c r="G40" s="29">
        <v>58000</v>
      </c>
      <c r="H40" s="29">
        <v>61000</v>
      </c>
      <c r="I40" s="8"/>
      <c r="J40" s="8"/>
    </row>
    <row r="41" spans="1:10" ht="22.5" x14ac:dyDescent="0.65">
      <c r="A41" s="21" t="s">
        <v>98</v>
      </c>
      <c r="B41" s="22">
        <f>IF(B39-B40&lt;0,B39+30-B40,B39-B40)</f>
        <v>26</v>
      </c>
      <c r="C41" s="22">
        <f>IF(C39-C40&lt;=0,+IF(B39-B40&lt;0,C39-1+12-C40,C39+12-C40),+IF(B39-B40&lt;0,C39-1-C40,C39-C40))</f>
        <v>11</v>
      </c>
      <c r="D41" s="22">
        <f>IF(D39-D40&lt;0,+IF(C39-C40&lt;=0,D39-1-D40,D39-D40),+IF(C39-C40&lt;0,D39-1-D40,D39-D40))</f>
        <v>12</v>
      </c>
      <c r="E41" s="4"/>
      <c r="F41" s="14" t="s">
        <v>109</v>
      </c>
      <c r="G41" s="32">
        <f>150*1695</f>
        <v>254250</v>
      </c>
      <c r="H41" s="32">
        <f>1797*150</f>
        <v>269550</v>
      </c>
      <c r="I41" s="8"/>
      <c r="J41" s="8"/>
    </row>
    <row r="42" spans="1:10" ht="16.5" x14ac:dyDescent="0.45">
      <c r="A42" s="73" t="s">
        <v>128</v>
      </c>
      <c r="B42" s="73"/>
      <c r="C42" s="73"/>
      <c r="D42" s="73"/>
      <c r="E42" s="73"/>
      <c r="F42" s="73"/>
      <c r="G42" s="73"/>
      <c r="H42" s="73"/>
      <c r="I42" s="73"/>
      <c r="J42" s="42"/>
    </row>
    <row r="43" spans="1:10" ht="18.75" x14ac:dyDescent="0.55000000000000004">
      <c r="H43" s="23"/>
    </row>
  </sheetData>
  <sheetProtection password="CBF8" sheet="1" objects="1" scenarios="1"/>
  <mergeCells count="15">
    <mergeCell ref="I1:J1"/>
    <mergeCell ref="I2:J2"/>
    <mergeCell ref="A42:I42"/>
    <mergeCell ref="G3:I3"/>
    <mergeCell ref="A2:F2"/>
    <mergeCell ref="A37:D37"/>
    <mergeCell ref="H5:J5"/>
    <mergeCell ref="A5:B5"/>
    <mergeCell ref="A7:B7"/>
    <mergeCell ref="A35:C35"/>
    <mergeCell ref="A19:D19"/>
    <mergeCell ref="A30:D30"/>
    <mergeCell ref="A9:D9"/>
    <mergeCell ref="A1:H1"/>
    <mergeCell ref="F31:H31"/>
  </mergeCells>
  <dataValidations count="2">
    <dataValidation type="list" allowBlank="1" showInputMessage="1" showErrorMessage="1" errorTitle="توجه" error="آخرین مدرک تحصیلی اعمال شده در حکم کارگزینی خود را انتخاب نمایید" sqref="C5">
      <formula1>$A$11:$A$16</formula1>
    </dataValidation>
    <dataValidation type="whole" operator="greaterThan" allowBlank="1" showInputMessage="1" showErrorMessage="1" sqref="D41">
      <formula1>0</formula1>
    </dataValidation>
  </dataValidations>
  <hyperlinks>
    <hyperlink ref="I2" r:id="rId1"/>
  </hyperlinks>
  <printOptions horizontalCentered="1"/>
  <pageMargins left="0.7" right="0.7" top="0.75" bottom="0.75" header="0.3" footer="0.3"/>
  <pageSetup paperSize="9" scale="54" orientation="portrait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توجه" error="عدد مربوط به ( روز ) بین 1 تا 31 می باشد">
          <x14:formula1>
            <xm:f>'sheet 3'!$CP$2:$CP$32</xm:f>
          </x14:formula1>
          <xm:sqref>B39:B40</xm:sqref>
        </x14:dataValidation>
        <x14:dataValidation type="list" allowBlank="1" showInputMessage="1" showErrorMessage="1" errorTitle="توجه" error="عدد مربوط به (ماه) بین 1 تا 12 می باشد">
          <x14:formula1>
            <xm:f>'sheet 3'!$CQ$2:$CQ$13</xm:f>
          </x14:formula1>
          <xm:sqref>C39:C40</xm:sqref>
        </x14:dataValidation>
        <x14:dataValidation type="list" allowBlank="1" showInputMessage="1" showErrorMessage="1" errorTitle="توجه" error="عدد مربوط به سال را بصورت **13 وارد نمایید">
          <x14:formula1>
            <xm:f>'sheet 3'!$CR$2:$CR$49</xm:f>
          </x14:formula1>
          <xm:sqref>D39:D40</xm:sqref>
        </x14:dataValidation>
        <x14:dataValidation type="list" allowBlank="1" showInputMessage="1" showErrorMessage="1" errorTitle="توجه" error="سقف مدت سرپرستی که امتیاز تعلق خواهد گرفت 10 سال می باشد">
          <x14:formula1>
            <xm:f>'sheet 3'!$CQ$1:$CQ$11</xm:f>
          </x14:formula1>
          <xm:sqref>D32</xm:sqref>
        </x14:dataValidation>
        <x14:dataValidation type="list" allowBlank="1" showInputMessage="1" showErrorMessage="1" errorTitle="توجه" error="سقف مدت مدیریتی که امتیاز تعلق خواهد گرفت 10 سال می باشد">
          <x14:formula1>
            <xm:f>'sheet 3'!$CQ$1:$CQ$11</xm:f>
          </x14:formula1>
          <xm:sqref>D33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6"/>
  <sheetViews>
    <sheetView rightToLeft="1" topLeftCell="J19" workbookViewId="0">
      <selection activeCell="J19" sqref="A1:XFD1048576"/>
    </sheetView>
  </sheetViews>
  <sheetFormatPr defaultColWidth="9.140625" defaultRowHeight="12.75" x14ac:dyDescent="0.2"/>
  <cols>
    <col min="1" max="1" width="16.28515625" style="44" customWidth="1"/>
    <col min="2" max="4" width="9.140625" style="44"/>
    <col min="5" max="5" width="10.42578125" style="44" customWidth="1"/>
    <col min="6" max="12" width="9.140625" style="44"/>
    <col min="13" max="13" width="8.7109375" style="44" customWidth="1"/>
    <col min="14" max="14" width="9.140625" style="44"/>
    <col min="15" max="15" width="37.85546875" style="44" bestFit="1" customWidth="1"/>
    <col min="16" max="16" width="14" style="44" bestFit="1" customWidth="1"/>
    <col min="17" max="17" width="14" style="44" customWidth="1"/>
    <col min="18" max="18" width="14.85546875" style="44" customWidth="1"/>
    <col min="19" max="19" width="9.42578125" style="44" bestFit="1" customWidth="1"/>
    <col min="20" max="20" width="9.140625" style="44"/>
    <col min="21" max="21" width="12.85546875" style="44" bestFit="1" customWidth="1"/>
    <col min="22" max="22" width="11.28515625" style="44" bestFit="1" customWidth="1"/>
    <col min="23" max="16384" width="9.140625" style="44"/>
  </cols>
  <sheetData>
    <row r="1" spans="1:17" x14ac:dyDescent="0.2">
      <c r="A1" s="51" t="s">
        <v>0</v>
      </c>
      <c r="B1" s="44">
        <f>Sheet1!B6</f>
        <v>4</v>
      </c>
      <c r="E1" s="52"/>
      <c r="G1" s="53"/>
      <c r="H1" s="53"/>
      <c r="I1" s="53"/>
      <c r="J1" s="53"/>
      <c r="K1" s="53"/>
      <c r="L1" s="51"/>
    </row>
    <row r="2" spans="1:17" x14ac:dyDescent="0.2">
      <c r="A2" s="44" t="s">
        <v>1</v>
      </c>
      <c r="B2" s="54">
        <v>1</v>
      </c>
      <c r="L2" s="51"/>
      <c r="O2" s="44" t="s">
        <v>88</v>
      </c>
      <c r="P2" s="44">
        <v>1695</v>
      </c>
    </row>
    <row r="3" spans="1:17" x14ac:dyDescent="0.2">
      <c r="A3" s="44" t="s">
        <v>2</v>
      </c>
      <c r="B3" s="54">
        <v>2</v>
      </c>
      <c r="L3" s="51"/>
      <c r="O3" s="44" t="s">
        <v>89</v>
      </c>
      <c r="P3" s="44">
        <v>1797</v>
      </c>
    </row>
    <row r="4" spans="1:17" x14ac:dyDescent="0.2">
      <c r="A4" s="44" t="s">
        <v>3</v>
      </c>
      <c r="B4" s="54">
        <v>3</v>
      </c>
    </row>
    <row r="5" spans="1:17" x14ac:dyDescent="0.2">
      <c r="A5" s="44" t="s">
        <v>4</v>
      </c>
      <c r="B5" s="54">
        <v>4</v>
      </c>
      <c r="P5" s="44" t="s">
        <v>90</v>
      </c>
    </row>
    <row r="6" spans="1:17" ht="22.5" x14ac:dyDescent="0.65">
      <c r="A6" s="44" t="s">
        <v>5</v>
      </c>
      <c r="B6" s="54">
        <v>5</v>
      </c>
      <c r="O6" s="55" t="s">
        <v>23</v>
      </c>
      <c r="P6" s="44">
        <f>Sheet1!G7/'sheet 2'!P2</f>
        <v>589.97050147492621</v>
      </c>
    </row>
    <row r="7" spans="1:17" ht="22.5" x14ac:dyDescent="0.65">
      <c r="A7" s="44" t="s">
        <v>6</v>
      </c>
      <c r="B7" s="54">
        <v>6</v>
      </c>
      <c r="O7" s="55" t="s">
        <v>75</v>
      </c>
      <c r="P7" s="44">
        <f>Sheet1!G8/'sheet 2'!P2</f>
        <v>0</v>
      </c>
    </row>
    <row r="8" spans="1:17" ht="22.5" x14ac:dyDescent="0.65">
      <c r="A8" s="51" t="str">
        <f>CHOOSE(B1,A2,A3,A4,A5,A6,A7)</f>
        <v>ليسانس</v>
      </c>
      <c r="B8" s="54">
        <f>CHOOSE(B1,1100,1200,1400,1700,2000,2300)</f>
        <v>1700</v>
      </c>
      <c r="O8" s="55" t="s">
        <v>97</v>
      </c>
      <c r="P8" s="45">
        <f>'sheet 3'!B16</f>
        <v>442</v>
      </c>
      <c r="Q8" s="45"/>
    </row>
    <row r="9" spans="1:17" ht="22.5" x14ac:dyDescent="0.65">
      <c r="O9" s="55" t="s">
        <v>76</v>
      </c>
      <c r="P9" s="44">
        <f>Sheet1!G10</f>
        <v>0</v>
      </c>
    </row>
    <row r="10" spans="1:17" ht="22.5" x14ac:dyDescent="0.65">
      <c r="A10" s="51" t="s">
        <v>8</v>
      </c>
      <c r="B10" s="45">
        <f>Sheet1!C7</f>
        <v>0</v>
      </c>
      <c r="C10" s="44">
        <f>ROUND(B10/2,0)</f>
        <v>0</v>
      </c>
      <c r="O10" s="55" t="s">
        <v>77</v>
      </c>
      <c r="P10" s="44">
        <f>Sheet1!G11/'sheet 2'!P2</f>
        <v>0</v>
      </c>
    </row>
    <row r="11" spans="1:17" ht="22.5" x14ac:dyDescent="0.65">
      <c r="B11" s="54">
        <f>IF(C10&lt;500,C10,500)</f>
        <v>0</v>
      </c>
      <c r="O11" s="55" t="s">
        <v>78</v>
      </c>
      <c r="P11" s="44">
        <f>ROUND(Sheet1!G12/(Sheet1!G7+Sheet1!G8+Sheet1!G9+Sheet1!G11+Sheet1!G13+Sheet1!G15)*100,0)</f>
        <v>0</v>
      </c>
    </row>
    <row r="12" spans="1:17" ht="22.5" x14ac:dyDescent="0.65">
      <c r="B12" s="44" t="s">
        <v>57</v>
      </c>
      <c r="O12" s="55" t="s">
        <v>79</v>
      </c>
      <c r="P12" s="44">
        <f>Sheet1!G13/'sheet 2'!P2</f>
        <v>0</v>
      </c>
    </row>
    <row r="13" spans="1:17" ht="22.5" x14ac:dyDescent="0.65">
      <c r="A13" s="51" t="s">
        <v>9</v>
      </c>
      <c r="B13" s="44">
        <f>Sheet1!B6</f>
        <v>4</v>
      </c>
      <c r="C13" s="48"/>
      <c r="O13" s="55" t="s">
        <v>80</v>
      </c>
    </row>
    <row r="14" spans="1:17" ht="22.5" x14ac:dyDescent="0.65">
      <c r="A14" s="44" t="s">
        <v>1</v>
      </c>
      <c r="B14" s="54">
        <v>1</v>
      </c>
      <c r="O14" s="55" t="s">
        <v>81</v>
      </c>
      <c r="P14" s="44">
        <f>ROUND(Sheet1!G15/'sheet 2'!P2,0)</f>
        <v>0</v>
      </c>
    </row>
    <row r="15" spans="1:17" ht="22.5" x14ac:dyDescent="0.65">
      <c r="A15" s="44" t="s">
        <v>2</v>
      </c>
      <c r="B15" s="54">
        <v>2</v>
      </c>
      <c r="O15" s="55" t="s">
        <v>82</v>
      </c>
      <c r="P15" s="44">
        <f>Sheet1!G16/'sheet 2'!P2</f>
        <v>0</v>
      </c>
    </row>
    <row r="16" spans="1:17" ht="22.5" x14ac:dyDescent="0.65">
      <c r="A16" s="44" t="s">
        <v>3</v>
      </c>
      <c r="B16" s="54">
        <v>3</v>
      </c>
      <c r="O16" s="55" t="s">
        <v>83</v>
      </c>
      <c r="P16" s="44">
        <f>Sheet1!G17/'sheet 2'!P2</f>
        <v>0</v>
      </c>
    </row>
    <row r="17" spans="1:17" ht="22.5" x14ac:dyDescent="0.65">
      <c r="A17" s="44" t="s">
        <v>4</v>
      </c>
      <c r="B17" s="54">
        <v>4</v>
      </c>
      <c r="O17" s="55" t="s">
        <v>84</v>
      </c>
    </row>
    <row r="18" spans="1:17" ht="22.5" x14ac:dyDescent="0.65">
      <c r="A18" s="44" t="s">
        <v>5</v>
      </c>
      <c r="B18" s="54">
        <v>5</v>
      </c>
      <c r="O18" s="55" t="s">
        <v>85</v>
      </c>
      <c r="P18" s="44">
        <f>ROUND(Sheet1!G19/(Sheet1!G7+Sheet1!G8+Sheet1!G9)*100,0)</f>
        <v>0</v>
      </c>
    </row>
    <row r="19" spans="1:17" ht="22.5" x14ac:dyDescent="0.65">
      <c r="A19" s="44" t="s">
        <v>6</v>
      </c>
      <c r="B19" s="54">
        <v>6</v>
      </c>
      <c r="O19" s="55" t="s">
        <v>86</v>
      </c>
      <c r="P19" s="45">
        <f>ROUND(Sheet1!G20/(Sheet1!G7+Sheet1!G8+Sheet1!G9)*100,0)</f>
        <v>0</v>
      </c>
      <c r="Q19" s="45"/>
    </row>
    <row r="20" spans="1:17" ht="22.5" x14ac:dyDescent="0.65">
      <c r="A20" s="51" t="str">
        <f>CHOOSE(B13,A14,A15,A16,A17,A18,A19)</f>
        <v>ليسانس</v>
      </c>
      <c r="B20" s="54">
        <f>CHOOSE(B13,200,250,300,400,600,800)</f>
        <v>400</v>
      </c>
      <c r="O20" s="55" t="s">
        <v>94</v>
      </c>
      <c r="P20" s="44">
        <f>ROUND(Sheet1!G21/'sheet 2'!P2,0)</f>
        <v>0</v>
      </c>
    </row>
    <row r="21" spans="1:17" ht="22.5" x14ac:dyDescent="0.65">
      <c r="O21" s="55" t="s">
        <v>95</v>
      </c>
      <c r="P21" s="44">
        <f>ROUND(Sheet1!G22/'sheet 2'!P2,0)</f>
        <v>0</v>
      </c>
    </row>
    <row r="22" spans="1:17" ht="22.5" x14ac:dyDescent="0.65">
      <c r="J22" s="48" t="s">
        <v>11</v>
      </c>
      <c r="K22" s="48" t="s">
        <v>12</v>
      </c>
      <c r="L22" s="48" t="s">
        <v>13</v>
      </c>
      <c r="O22" s="55" t="s">
        <v>96</v>
      </c>
      <c r="P22" s="44">
        <f>Sheet1!J24-Sheet1!G24</f>
        <v>11420000</v>
      </c>
    </row>
    <row r="23" spans="1:17" x14ac:dyDescent="0.2">
      <c r="K23" s="45">
        <f>J38</f>
        <v>0</v>
      </c>
      <c r="L23" s="45">
        <f>K38</f>
        <v>0</v>
      </c>
    </row>
    <row r="24" spans="1:17" x14ac:dyDescent="0.2">
      <c r="A24" s="56" t="s">
        <v>10</v>
      </c>
      <c r="B24" s="48" t="s">
        <v>11</v>
      </c>
      <c r="C24" s="48" t="s">
        <v>12</v>
      </c>
      <c r="D24" s="48" t="s">
        <v>13</v>
      </c>
      <c r="E24" s="44" t="s">
        <v>14</v>
      </c>
      <c r="G24" s="57" t="s">
        <v>28</v>
      </c>
      <c r="J24" s="58">
        <f t="shared" ref="J24:L29" si="0">B25</f>
        <v>0</v>
      </c>
      <c r="K24" s="58">
        <f t="shared" si="0"/>
        <v>0</v>
      </c>
      <c r="L24" s="58">
        <f t="shared" si="0"/>
        <v>0</v>
      </c>
      <c r="O24" s="59" t="s">
        <v>111</v>
      </c>
      <c r="P24" s="60">
        <f>Sheet1!J7+Sheet1!J8+Sheet1!J9+Sheet1!J11+Sheet1!J12+Sheet1!J13+Sheet1!J15+Sheet1!J21+Sheet1!J22</f>
        <v>2050874.8255241178</v>
      </c>
      <c r="Q24" s="60"/>
    </row>
    <row r="25" spans="1:17" ht="22.5" x14ac:dyDescent="0.65">
      <c r="A25" s="44" t="s">
        <v>1</v>
      </c>
      <c r="B25" s="58">
        <f>Sheet1!B11</f>
        <v>0</v>
      </c>
      <c r="C25" s="58">
        <f>Sheet1!C11</f>
        <v>0</v>
      </c>
      <c r="D25" s="58">
        <f>Sheet1!D11</f>
        <v>0</v>
      </c>
      <c r="E25" s="58">
        <f t="shared" ref="E25:E31" si="1">D25*360+C25*30+B25</f>
        <v>0</v>
      </c>
      <c r="F25" s="54">
        <f>ROUND(E25*10/360,0)</f>
        <v>0</v>
      </c>
      <c r="G25" s="57">
        <v>10</v>
      </c>
      <c r="J25" s="58">
        <f t="shared" si="0"/>
        <v>0</v>
      </c>
      <c r="K25" s="58">
        <f t="shared" si="0"/>
        <v>0</v>
      </c>
      <c r="L25" s="58">
        <f t="shared" si="0"/>
        <v>0</v>
      </c>
      <c r="O25" s="55" t="s">
        <v>127</v>
      </c>
      <c r="P25" s="60">
        <f>IF(P24&gt;=12420000,P24,12420000)</f>
        <v>12420000</v>
      </c>
      <c r="Q25" s="60"/>
    </row>
    <row r="26" spans="1:17" ht="22.5" x14ac:dyDescent="0.65">
      <c r="A26" s="44" t="s">
        <v>2</v>
      </c>
      <c r="B26" s="58">
        <f>Sheet1!B12</f>
        <v>0</v>
      </c>
      <c r="C26" s="58">
        <f>Sheet1!C12</f>
        <v>0</v>
      </c>
      <c r="D26" s="58">
        <f>Sheet1!D12</f>
        <v>0</v>
      </c>
      <c r="E26" s="58">
        <f t="shared" si="1"/>
        <v>0</v>
      </c>
      <c r="F26" s="54">
        <f>ROUND(E26*15/360,0)</f>
        <v>0</v>
      </c>
      <c r="G26" s="57">
        <v>15</v>
      </c>
      <c r="J26" s="58">
        <f t="shared" si="0"/>
        <v>0</v>
      </c>
      <c r="K26" s="58">
        <f t="shared" si="0"/>
        <v>0</v>
      </c>
      <c r="L26" s="58">
        <f t="shared" si="0"/>
        <v>0</v>
      </c>
      <c r="O26" s="55" t="s">
        <v>124</v>
      </c>
      <c r="P26" s="44">
        <f>IF(P24&lt;12420000,12420000-P24,0)</f>
        <v>10369125.174475882</v>
      </c>
    </row>
    <row r="27" spans="1:17" x14ac:dyDescent="0.2">
      <c r="A27" s="44" t="s">
        <v>3</v>
      </c>
      <c r="B27" s="58">
        <f>Sheet1!B13</f>
        <v>0</v>
      </c>
      <c r="C27" s="58">
        <f>Sheet1!C13</f>
        <v>0</v>
      </c>
      <c r="D27" s="58">
        <f>Sheet1!D13</f>
        <v>0</v>
      </c>
      <c r="E27" s="58">
        <f t="shared" si="1"/>
        <v>0</v>
      </c>
      <c r="F27" s="54">
        <f>ROUND(E27*20/360,0)</f>
        <v>0</v>
      </c>
      <c r="G27" s="57">
        <v>20</v>
      </c>
      <c r="J27" s="58">
        <f t="shared" si="0"/>
        <v>0</v>
      </c>
      <c r="K27" s="58">
        <f t="shared" si="0"/>
        <v>0</v>
      </c>
      <c r="L27" s="58">
        <f t="shared" si="0"/>
        <v>0</v>
      </c>
      <c r="O27" s="59" t="s">
        <v>112</v>
      </c>
      <c r="P27" s="44" t="str">
        <f>LEFT(P24,2)</f>
        <v>20</v>
      </c>
    </row>
    <row r="28" spans="1:17" x14ac:dyDescent="0.2">
      <c r="A28" s="44" t="s">
        <v>4</v>
      </c>
      <c r="B28" s="58">
        <f>Sheet1!B14</f>
        <v>0</v>
      </c>
      <c r="C28" s="58">
        <f>Sheet1!C14</f>
        <v>0</v>
      </c>
      <c r="D28" s="58">
        <f>Sheet1!D14</f>
        <v>0</v>
      </c>
      <c r="E28" s="58">
        <f t="shared" si="1"/>
        <v>0</v>
      </c>
      <c r="F28" s="54">
        <f>ROUND(E28*25/360,0)</f>
        <v>0</v>
      </c>
      <c r="G28" s="57">
        <v>25</v>
      </c>
      <c r="J28" s="58">
        <f t="shared" si="0"/>
        <v>0</v>
      </c>
      <c r="K28" s="58">
        <f t="shared" si="0"/>
        <v>0</v>
      </c>
      <c r="L28" s="58">
        <f t="shared" si="0"/>
        <v>0</v>
      </c>
      <c r="P28" s="44">
        <f>(P25*22%)/1000000</f>
        <v>2.7324000000000002</v>
      </c>
    </row>
    <row r="29" spans="1:17" x14ac:dyDescent="0.2">
      <c r="A29" s="44" t="s">
        <v>5</v>
      </c>
      <c r="B29" s="58">
        <f>Sheet1!B15</f>
        <v>0</v>
      </c>
      <c r="C29" s="58">
        <f>Sheet1!C15</f>
        <v>0</v>
      </c>
      <c r="D29" s="58">
        <f>Sheet1!D15</f>
        <v>0</v>
      </c>
      <c r="E29" s="58">
        <f t="shared" si="1"/>
        <v>0</v>
      </c>
      <c r="F29" s="54">
        <f>ROUND(E29*30/360,0)</f>
        <v>0</v>
      </c>
      <c r="G29" s="57">
        <v>30</v>
      </c>
      <c r="J29" s="58">
        <f t="shared" si="0"/>
        <v>0</v>
      </c>
      <c r="K29" s="58">
        <f t="shared" si="0"/>
        <v>0</v>
      </c>
      <c r="L29" s="58">
        <f t="shared" si="0"/>
        <v>0</v>
      </c>
      <c r="O29" s="44" t="s">
        <v>113</v>
      </c>
      <c r="P29" s="44">
        <f>ROUND(11-P28,2)</f>
        <v>8.27</v>
      </c>
    </row>
    <row r="30" spans="1:17" x14ac:dyDescent="0.2">
      <c r="A30" s="44" t="s">
        <v>6</v>
      </c>
      <c r="B30" s="58">
        <f>Sheet1!B16</f>
        <v>0</v>
      </c>
      <c r="C30" s="58">
        <f>Sheet1!C16</f>
        <v>0</v>
      </c>
      <c r="D30" s="58">
        <f>Sheet1!D16</f>
        <v>0</v>
      </c>
      <c r="E30" s="58">
        <f t="shared" si="1"/>
        <v>0</v>
      </c>
      <c r="F30" s="54">
        <f>ROUND(E30*35/360,0)</f>
        <v>0</v>
      </c>
      <c r="G30" s="57">
        <v>35</v>
      </c>
      <c r="J30" s="58"/>
      <c r="K30" s="58"/>
      <c r="L30" s="58"/>
      <c r="O30" s="44" t="s">
        <v>126</v>
      </c>
      <c r="P30" s="44">
        <f>IF(P29&gt;0,P29,0)</f>
        <v>8.27</v>
      </c>
    </row>
    <row r="31" spans="1:17" x14ac:dyDescent="0.2">
      <c r="A31" s="56" t="s">
        <v>17</v>
      </c>
      <c r="B31" s="45"/>
      <c r="C31" s="45"/>
      <c r="D31" s="45"/>
      <c r="E31" s="58">
        <f t="shared" si="1"/>
        <v>0</v>
      </c>
      <c r="F31" s="54"/>
      <c r="J31" s="58">
        <f t="shared" ref="J31:L35" si="2">B32</f>
        <v>0</v>
      </c>
      <c r="K31" s="58">
        <f t="shared" si="2"/>
        <v>0</v>
      </c>
      <c r="L31" s="58">
        <f t="shared" si="2"/>
        <v>0</v>
      </c>
      <c r="P31" s="61"/>
      <c r="Q31" s="61"/>
    </row>
    <row r="32" spans="1:17" x14ac:dyDescent="0.2">
      <c r="A32" s="44" t="s">
        <v>1</v>
      </c>
      <c r="B32" s="45"/>
      <c r="C32" s="45"/>
      <c r="D32" s="45"/>
      <c r="E32" s="58">
        <f>D32*360+C32*30+B32</f>
        <v>0</v>
      </c>
      <c r="F32" s="54">
        <f>ROUND(E32*10/360,0)</f>
        <v>0</v>
      </c>
      <c r="G32" s="57">
        <v>10</v>
      </c>
      <c r="J32" s="58">
        <f t="shared" si="2"/>
        <v>0</v>
      </c>
      <c r="K32" s="58">
        <f t="shared" si="2"/>
        <v>0</v>
      </c>
      <c r="L32" s="58">
        <f t="shared" si="2"/>
        <v>0</v>
      </c>
    </row>
    <row r="33" spans="1:22" x14ac:dyDescent="0.2">
      <c r="A33" s="44" t="s">
        <v>2</v>
      </c>
      <c r="B33" s="45"/>
      <c r="C33" s="45"/>
      <c r="D33" s="45"/>
      <c r="E33" s="58">
        <f>D33*360+C33*30+B33</f>
        <v>0</v>
      </c>
      <c r="F33" s="54">
        <f>ROUND(E33*15/360,0)</f>
        <v>0</v>
      </c>
      <c r="G33" s="57">
        <v>15</v>
      </c>
      <c r="J33" s="58">
        <f t="shared" si="2"/>
        <v>0</v>
      </c>
      <c r="K33" s="58">
        <f t="shared" si="2"/>
        <v>0</v>
      </c>
      <c r="L33" s="58">
        <f t="shared" si="2"/>
        <v>0</v>
      </c>
    </row>
    <row r="34" spans="1:22" ht="22.5" x14ac:dyDescent="0.65">
      <c r="A34" s="44" t="s">
        <v>3</v>
      </c>
      <c r="B34" s="45"/>
      <c r="C34" s="45"/>
      <c r="D34" s="45"/>
      <c r="E34" s="58">
        <f>D34*360+C34*30+B34</f>
        <v>0</v>
      </c>
      <c r="F34" s="54">
        <f>ROUND(E34*20/360,0)</f>
        <v>0</v>
      </c>
      <c r="G34" s="57">
        <v>20</v>
      </c>
      <c r="J34" s="58">
        <f t="shared" si="2"/>
        <v>0</v>
      </c>
      <c r="K34" s="58">
        <f t="shared" si="2"/>
        <v>0</v>
      </c>
      <c r="L34" s="58">
        <f t="shared" si="2"/>
        <v>0</v>
      </c>
      <c r="O34" s="55" t="s">
        <v>23</v>
      </c>
      <c r="P34" s="60">
        <f>Sheet1!H7</f>
        <v>1060176.9911504425</v>
      </c>
      <c r="Q34" s="62">
        <f>P34/1000000</f>
        <v>1.0601769911504426</v>
      </c>
      <c r="R34" s="44">
        <f>(Q34*22%)</f>
        <v>0.23323893805309737</v>
      </c>
      <c r="S34" s="63">
        <f>11-R34</f>
        <v>10.766761061946903</v>
      </c>
      <c r="T34" s="44">
        <f>IF(P34&lt;=0,0,S34)</f>
        <v>10.766761061946903</v>
      </c>
      <c r="U34" s="64">
        <f>T34*P34/100</f>
        <v>114146.72347090612</v>
      </c>
      <c r="V34" s="65">
        <f>P34*T44/100</f>
        <v>112294.16722807426</v>
      </c>
    </row>
    <row r="35" spans="1:22" ht="22.5" x14ac:dyDescent="0.65">
      <c r="A35" s="44" t="s">
        <v>4</v>
      </c>
      <c r="B35" s="45"/>
      <c r="C35" s="45"/>
      <c r="D35" s="45"/>
      <c r="E35" s="58">
        <f>D35*360+C35*30+B35</f>
        <v>0</v>
      </c>
      <c r="F35" s="54">
        <f>ROUND(E35*25/360,0)</f>
        <v>0</v>
      </c>
      <c r="G35" s="57">
        <v>25</v>
      </c>
      <c r="J35" s="58">
        <f t="shared" si="2"/>
        <v>0</v>
      </c>
      <c r="K35" s="58">
        <f t="shared" si="2"/>
        <v>0</v>
      </c>
      <c r="L35" s="58">
        <f t="shared" si="2"/>
        <v>0</v>
      </c>
      <c r="O35" s="55" t="s">
        <v>75</v>
      </c>
      <c r="P35" s="60">
        <f>Sheet1!H8</f>
        <v>0</v>
      </c>
      <c r="Q35" s="62">
        <f t="shared" ref="Q35:Q42" si="3">P35/1000000</f>
        <v>0</v>
      </c>
      <c r="R35" s="44">
        <f t="shared" ref="R35:R43" si="4">(Q35*22%)</f>
        <v>0</v>
      </c>
      <c r="S35" s="63">
        <f t="shared" ref="S35:S42" si="5">11-R35</f>
        <v>11</v>
      </c>
      <c r="T35" s="44">
        <f t="shared" ref="T35:T43" si="6">IF(P35&lt;=0,0,S35)</f>
        <v>0</v>
      </c>
      <c r="U35" s="64">
        <f t="shared" ref="U35:U42" si="7">T35*P35/100</f>
        <v>0</v>
      </c>
      <c r="V35" s="64">
        <f>P35*T44/100</f>
        <v>0</v>
      </c>
    </row>
    <row r="36" spans="1:22" ht="22.5" x14ac:dyDescent="0.65">
      <c r="A36" s="44" t="s">
        <v>5</v>
      </c>
      <c r="B36" s="45"/>
      <c r="C36" s="45"/>
      <c r="D36" s="45"/>
      <c r="E36" s="58">
        <f>D36*360+C36*30+B36</f>
        <v>0</v>
      </c>
      <c r="F36" s="54">
        <f>ROUND(E36*30/360,0)</f>
        <v>0</v>
      </c>
      <c r="G36" s="57">
        <v>30</v>
      </c>
      <c r="J36" s="45">
        <f>SUM(J24:J35)</f>
        <v>0</v>
      </c>
      <c r="K36" s="45">
        <f>SUM(K23:K35)</f>
        <v>0</v>
      </c>
      <c r="O36" s="55" t="s">
        <v>97</v>
      </c>
      <c r="P36" s="60">
        <f>Sheet1!H9</f>
        <v>794274</v>
      </c>
      <c r="Q36" s="62">
        <f t="shared" si="3"/>
        <v>0.79427400000000004</v>
      </c>
      <c r="R36" s="44">
        <f t="shared" si="4"/>
        <v>0.17474028</v>
      </c>
      <c r="S36" s="63">
        <f t="shared" si="5"/>
        <v>10.82525972</v>
      </c>
      <c r="T36" s="44">
        <f t="shared" si="6"/>
        <v>10.82525972</v>
      </c>
      <c r="U36" s="64">
        <f t="shared" si="7"/>
        <v>85982.223388432802</v>
      </c>
      <c r="V36" s="64">
        <f>P36*T44/100</f>
        <v>84129.66714560095</v>
      </c>
    </row>
    <row r="37" spans="1:22" ht="22.5" x14ac:dyDescent="0.65">
      <c r="A37" s="44" t="s">
        <v>62</v>
      </c>
      <c r="B37" s="58">
        <f>J37</f>
        <v>0</v>
      </c>
      <c r="C37" s="58">
        <f>K37</f>
        <v>0</v>
      </c>
      <c r="D37" s="58">
        <f>L37</f>
        <v>0</v>
      </c>
      <c r="F37" s="54">
        <f>ROUND(SUM(F25:F36),0)</f>
        <v>0</v>
      </c>
      <c r="G37" s="57"/>
      <c r="J37" s="45">
        <f>MOD(J36,30)</f>
        <v>0</v>
      </c>
      <c r="K37" s="45">
        <f>MOD(K36,12)</f>
        <v>0</v>
      </c>
      <c r="L37" s="45">
        <f>SUM(L23:L35)</f>
        <v>0</v>
      </c>
      <c r="O37" s="55" t="s">
        <v>77</v>
      </c>
      <c r="P37" s="60">
        <f>Sheet1!H11</f>
        <v>0</v>
      </c>
      <c r="Q37" s="62">
        <f t="shared" si="3"/>
        <v>0</v>
      </c>
      <c r="R37" s="44">
        <f t="shared" si="4"/>
        <v>0</v>
      </c>
      <c r="S37" s="63">
        <f t="shared" si="5"/>
        <v>11</v>
      </c>
      <c r="T37" s="44">
        <f t="shared" si="6"/>
        <v>0</v>
      </c>
      <c r="U37" s="64">
        <f t="shared" si="7"/>
        <v>0</v>
      </c>
      <c r="V37" s="64">
        <f>P37*T44/100</f>
        <v>0</v>
      </c>
    </row>
    <row r="38" spans="1:22" ht="22.5" x14ac:dyDescent="0.65">
      <c r="B38" s="48"/>
      <c r="J38" s="45">
        <f>INT((J24+J25+J26+J27+J28+J29+J31+J32+J33+J34+J35)/30)</f>
        <v>0</v>
      </c>
      <c r="K38" s="45">
        <f>INT((K23+K24+K25+K26+K27+K28+K29+K31+K32+K33+K34+K35)/12)</f>
        <v>0</v>
      </c>
      <c r="M38" s="45"/>
      <c r="O38" s="55" t="s">
        <v>78</v>
      </c>
      <c r="P38" s="60">
        <f>Sheet1!H12</f>
        <v>0</v>
      </c>
      <c r="Q38" s="62">
        <f t="shared" si="3"/>
        <v>0</v>
      </c>
      <c r="R38" s="44">
        <f t="shared" si="4"/>
        <v>0</v>
      </c>
      <c r="S38" s="63">
        <f t="shared" si="5"/>
        <v>11</v>
      </c>
      <c r="T38" s="44">
        <f t="shared" si="6"/>
        <v>0</v>
      </c>
      <c r="U38" s="64">
        <f t="shared" si="7"/>
        <v>0</v>
      </c>
      <c r="V38" s="64">
        <f>P38*T44/100</f>
        <v>0</v>
      </c>
    </row>
    <row r="39" spans="1:22" ht="22.5" x14ac:dyDescent="0.65">
      <c r="J39" s="48" t="s">
        <v>11</v>
      </c>
      <c r="K39" s="58">
        <f>J48</f>
        <v>0</v>
      </c>
      <c r="L39" s="58">
        <f>K48</f>
        <v>0</v>
      </c>
      <c r="O39" s="55" t="s">
        <v>79</v>
      </c>
      <c r="P39" s="60">
        <f>Sheet1!H13</f>
        <v>0</v>
      </c>
      <c r="Q39" s="62">
        <f t="shared" si="3"/>
        <v>0</v>
      </c>
      <c r="R39" s="44">
        <f t="shared" si="4"/>
        <v>0</v>
      </c>
      <c r="S39" s="63">
        <f t="shared" si="5"/>
        <v>11</v>
      </c>
      <c r="T39" s="44">
        <f t="shared" si="6"/>
        <v>0</v>
      </c>
      <c r="U39" s="64">
        <f t="shared" si="7"/>
        <v>0</v>
      </c>
      <c r="V39" s="64">
        <f>P39*T44/100</f>
        <v>0</v>
      </c>
    </row>
    <row r="40" spans="1:22" ht="22.5" x14ac:dyDescent="0.65">
      <c r="A40" s="56" t="s">
        <v>15</v>
      </c>
      <c r="B40" s="48" t="s">
        <v>11</v>
      </c>
      <c r="C40" s="48" t="s">
        <v>12</v>
      </c>
      <c r="D40" s="48" t="s">
        <v>13</v>
      </c>
      <c r="E40" s="44" t="s">
        <v>16</v>
      </c>
      <c r="G40" s="48" t="s">
        <v>28</v>
      </c>
      <c r="J40" s="45">
        <f t="shared" ref="J40:L45" si="8">B41</f>
        <v>0</v>
      </c>
      <c r="K40" s="45">
        <f t="shared" si="8"/>
        <v>0</v>
      </c>
      <c r="L40" s="45">
        <f t="shared" si="8"/>
        <v>0</v>
      </c>
      <c r="O40" s="55" t="s">
        <v>81</v>
      </c>
      <c r="P40" s="60">
        <f>Sheet1!H15</f>
        <v>0</v>
      </c>
      <c r="Q40" s="62">
        <f t="shared" si="3"/>
        <v>0</v>
      </c>
      <c r="R40" s="44">
        <f t="shared" si="4"/>
        <v>0</v>
      </c>
      <c r="S40" s="63">
        <f t="shared" si="5"/>
        <v>11</v>
      </c>
      <c r="T40" s="44">
        <f t="shared" si="6"/>
        <v>0</v>
      </c>
      <c r="U40" s="64">
        <f t="shared" si="7"/>
        <v>0</v>
      </c>
      <c r="V40" s="64">
        <f>P40*T44/100</f>
        <v>0</v>
      </c>
    </row>
    <row r="41" spans="1:22" ht="22.5" x14ac:dyDescent="0.65">
      <c r="A41" s="44" t="s">
        <v>1</v>
      </c>
      <c r="B41" s="45">
        <f>Sheet1!B21</f>
        <v>0</v>
      </c>
      <c r="C41" s="45">
        <f>Sheet1!C21</f>
        <v>0</v>
      </c>
      <c r="D41" s="45">
        <f>Sheet1!D21</f>
        <v>0</v>
      </c>
      <c r="E41" s="58">
        <f t="shared" ref="E41:E46" si="9">D41*360+C41*30+B41</f>
        <v>0</v>
      </c>
      <c r="F41" s="66">
        <f>ROUND(E41*8/360,0)</f>
        <v>0</v>
      </c>
      <c r="G41" s="57">
        <v>8</v>
      </c>
      <c r="J41" s="45">
        <f t="shared" si="8"/>
        <v>0</v>
      </c>
      <c r="K41" s="45">
        <f t="shared" si="8"/>
        <v>0</v>
      </c>
      <c r="L41" s="45">
        <f t="shared" si="8"/>
        <v>0</v>
      </c>
      <c r="O41" s="55" t="s">
        <v>94</v>
      </c>
      <c r="P41" s="60">
        <f>Sheet1!H21</f>
        <v>0</v>
      </c>
      <c r="Q41" s="62">
        <f t="shared" si="3"/>
        <v>0</v>
      </c>
      <c r="R41" s="44">
        <f t="shared" si="4"/>
        <v>0</v>
      </c>
      <c r="S41" s="63">
        <f t="shared" si="5"/>
        <v>11</v>
      </c>
      <c r="T41" s="44">
        <f t="shared" si="6"/>
        <v>0</v>
      </c>
      <c r="U41" s="64">
        <f t="shared" si="7"/>
        <v>0</v>
      </c>
      <c r="V41" s="64">
        <f>P41*T44/100</f>
        <v>0</v>
      </c>
    </row>
    <row r="42" spans="1:22" ht="22.5" x14ac:dyDescent="0.65">
      <c r="A42" s="44" t="s">
        <v>2</v>
      </c>
      <c r="B42" s="45">
        <f>Sheet1!B22</f>
        <v>0</v>
      </c>
      <c r="C42" s="45">
        <f>Sheet1!C22</f>
        <v>0</v>
      </c>
      <c r="D42" s="45">
        <f>Sheet1!D22</f>
        <v>0</v>
      </c>
      <c r="E42" s="58">
        <f t="shared" si="9"/>
        <v>0</v>
      </c>
      <c r="F42" s="66">
        <f>ROUND(E42*10/360,0)</f>
        <v>0</v>
      </c>
      <c r="G42" s="57">
        <v>10</v>
      </c>
      <c r="J42" s="45">
        <f t="shared" si="8"/>
        <v>0</v>
      </c>
      <c r="K42" s="45">
        <f t="shared" si="8"/>
        <v>0</v>
      </c>
      <c r="L42" s="45">
        <f t="shared" si="8"/>
        <v>0</v>
      </c>
      <c r="O42" s="55" t="s">
        <v>95</v>
      </c>
      <c r="P42" s="60">
        <f>Sheet1!H22</f>
        <v>0</v>
      </c>
      <c r="Q42" s="62">
        <f t="shared" si="3"/>
        <v>0</v>
      </c>
      <c r="R42" s="44">
        <f t="shared" si="4"/>
        <v>0</v>
      </c>
      <c r="S42" s="63">
        <f t="shared" si="5"/>
        <v>11</v>
      </c>
      <c r="T42" s="44">
        <f t="shared" si="6"/>
        <v>0</v>
      </c>
      <c r="U42" s="64">
        <f t="shared" si="7"/>
        <v>0</v>
      </c>
      <c r="V42" s="64">
        <f>P42*T44/100</f>
        <v>0</v>
      </c>
    </row>
    <row r="43" spans="1:22" x14ac:dyDescent="0.2">
      <c r="A43" s="44" t="s">
        <v>3</v>
      </c>
      <c r="B43" s="45">
        <f>Sheet1!B23</f>
        <v>0</v>
      </c>
      <c r="C43" s="45">
        <f>Sheet1!C23</f>
        <v>0</v>
      </c>
      <c r="D43" s="45">
        <f>Sheet1!D23</f>
        <v>0</v>
      </c>
      <c r="E43" s="58">
        <f t="shared" si="9"/>
        <v>0</v>
      </c>
      <c r="F43" s="66">
        <f>ROUND(E43*12/360,0)</f>
        <v>0</v>
      </c>
      <c r="G43" s="57">
        <v>12</v>
      </c>
      <c r="J43" s="45">
        <f t="shared" si="8"/>
        <v>0</v>
      </c>
      <c r="K43" s="45">
        <f t="shared" si="8"/>
        <v>0</v>
      </c>
      <c r="L43" s="45">
        <f t="shared" si="8"/>
        <v>0</v>
      </c>
      <c r="P43" s="64">
        <f>SUM(P34:P42)</f>
        <v>1854450.9911504425</v>
      </c>
      <c r="Q43" s="62">
        <f>P43/1000000</f>
        <v>1.8544509911504425</v>
      </c>
      <c r="R43" s="44">
        <f t="shared" si="4"/>
        <v>0.40797921805309734</v>
      </c>
      <c r="S43" s="63">
        <f>11-R43</f>
        <v>10.592020781946903</v>
      </c>
      <c r="T43" s="44">
        <f t="shared" si="6"/>
        <v>10.592020781946903</v>
      </c>
      <c r="U43" s="65">
        <f>T43*P43/100</f>
        <v>196423.8343736752</v>
      </c>
      <c r="V43" s="64">
        <f>SUM(V34:V42)</f>
        <v>196423.83437367523</v>
      </c>
    </row>
    <row r="44" spans="1:22" x14ac:dyDescent="0.2">
      <c r="A44" s="44" t="s">
        <v>4</v>
      </c>
      <c r="B44" s="45">
        <f>Sheet1!B24</f>
        <v>0</v>
      </c>
      <c r="C44" s="45">
        <f>Sheet1!C24</f>
        <v>0</v>
      </c>
      <c r="D44" s="45">
        <f>Sheet1!D24</f>
        <v>0</v>
      </c>
      <c r="E44" s="58">
        <f t="shared" si="9"/>
        <v>0</v>
      </c>
      <c r="F44" s="66">
        <f>ROUND(E44*14/360,0)</f>
        <v>0</v>
      </c>
      <c r="G44" s="57">
        <v>14</v>
      </c>
      <c r="J44" s="45">
        <f t="shared" si="8"/>
        <v>0</v>
      </c>
      <c r="K44" s="45">
        <f t="shared" si="8"/>
        <v>0</v>
      </c>
      <c r="L44" s="45">
        <f t="shared" si="8"/>
        <v>0</v>
      </c>
      <c r="P44" s="64"/>
      <c r="S44" s="44" t="s">
        <v>136</v>
      </c>
      <c r="T44" s="44">
        <f>IF(T43&gt;0,T43,0)</f>
        <v>10.592020781946903</v>
      </c>
    </row>
    <row r="45" spans="1:22" x14ac:dyDescent="0.2">
      <c r="A45" s="44" t="s">
        <v>5</v>
      </c>
      <c r="B45" s="45">
        <f>Sheet1!B25</f>
        <v>0</v>
      </c>
      <c r="C45" s="45">
        <f>Sheet1!C25</f>
        <v>0</v>
      </c>
      <c r="D45" s="45">
        <f>Sheet1!D25</f>
        <v>0</v>
      </c>
      <c r="E45" s="58">
        <f t="shared" si="9"/>
        <v>0</v>
      </c>
      <c r="F45" s="66">
        <f>ROUND(E45*16/360,0)</f>
        <v>0</v>
      </c>
      <c r="G45" s="57">
        <v>16</v>
      </c>
      <c r="J45" s="45">
        <f t="shared" si="8"/>
        <v>0</v>
      </c>
      <c r="K45" s="45">
        <f t="shared" si="8"/>
        <v>0</v>
      </c>
      <c r="L45" s="45">
        <f t="shared" si="8"/>
        <v>0</v>
      </c>
    </row>
    <row r="46" spans="1:22" x14ac:dyDescent="0.2">
      <c r="A46" s="44" t="s">
        <v>6</v>
      </c>
      <c r="B46" s="45">
        <f>Sheet1!B26</f>
        <v>0</v>
      </c>
      <c r="C46" s="45">
        <f>Sheet1!C26</f>
        <v>0</v>
      </c>
      <c r="D46" s="45">
        <f>Sheet1!D26</f>
        <v>0</v>
      </c>
      <c r="E46" s="58">
        <f t="shared" si="9"/>
        <v>0</v>
      </c>
      <c r="F46" s="66">
        <f>ROUND(E46*18/360,0)</f>
        <v>0</v>
      </c>
      <c r="G46" s="57">
        <v>18</v>
      </c>
      <c r="J46" s="45">
        <f>SUM(J40:J45)</f>
        <v>0</v>
      </c>
      <c r="K46" s="45">
        <f>SUM(K39:K45)</f>
        <v>0</v>
      </c>
    </row>
    <row r="47" spans="1:22" x14ac:dyDescent="0.2">
      <c r="A47" s="44" t="s">
        <v>63</v>
      </c>
      <c r="B47" s="45">
        <f>J47</f>
        <v>0</v>
      </c>
      <c r="C47" s="45">
        <f>K47</f>
        <v>0</v>
      </c>
      <c r="D47" s="45">
        <f>L47</f>
        <v>0</v>
      </c>
      <c r="F47" s="66">
        <f>ROUND(SUM(F41:F46),0)</f>
        <v>0</v>
      </c>
      <c r="J47" s="45">
        <f>MOD(J46,30)</f>
        <v>0</v>
      </c>
      <c r="K47" s="45">
        <f>MOD(K46,12)</f>
        <v>0</v>
      </c>
      <c r="L47" s="45">
        <f>SUM(L39:L45)</f>
        <v>0</v>
      </c>
    </row>
    <row r="48" spans="1:22" x14ac:dyDescent="0.2">
      <c r="J48" s="45">
        <f>INT((J40+J41+J42+J43+J44+J45)/30)</f>
        <v>0</v>
      </c>
      <c r="K48" s="45">
        <f>INT((K39+K40+K41+K42+K43+K44+K45)/12)</f>
        <v>0</v>
      </c>
    </row>
    <row r="49" spans="1:10" x14ac:dyDescent="0.2">
      <c r="A49" s="51" t="s">
        <v>18</v>
      </c>
      <c r="B49" s="48" t="s">
        <v>11</v>
      </c>
      <c r="C49" s="48" t="s">
        <v>12</v>
      </c>
      <c r="D49" s="48" t="s">
        <v>13</v>
      </c>
      <c r="E49" s="44" t="s">
        <v>21</v>
      </c>
    </row>
    <row r="50" spans="1:10" x14ac:dyDescent="0.2">
      <c r="A50" s="44" t="s">
        <v>19</v>
      </c>
      <c r="B50" s="58">
        <f>Sheet1!B32</f>
        <v>0</v>
      </c>
      <c r="C50" s="58">
        <f>Sheet1!C32</f>
        <v>0</v>
      </c>
      <c r="D50" s="58">
        <f>Sheet1!D32</f>
        <v>0</v>
      </c>
      <c r="E50" s="58">
        <f>D50*360+C50*30+B50</f>
        <v>0</v>
      </c>
      <c r="F50" s="50">
        <f>E50/360*0.01</f>
        <v>0</v>
      </c>
      <c r="G50" s="44">
        <f>IF(F50&lt;=0.1,F50,0.1)</f>
        <v>0</v>
      </c>
      <c r="H50" s="45">
        <f>'sheet 3'!B11</f>
        <v>2100</v>
      </c>
      <c r="I50" s="66">
        <f>ROUND(H50*G50,0)</f>
        <v>0</v>
      </c>
    </row>
    <row r="51" spans="1:10" x14ac:dyDescent="0.2">
      <c r="A51" s="44" t="s">
        <v>20</v>
      </c>
      <c r="B51" s="58">
        <f>Sheet1!B33</f>
        <v>0</v>
      </c>
      <c r="C51" s="58">
        <f>Sheet1!C33</f>
        <v>0</v>
      </c>
      <c r="D51" s="58">
        <f>Sheet1!D33</f>
        <v>0</v>
      </c>
      <c r="E51" s="58">
        <f>D51*360+C51*30+B51</f>
        <v>0</v>
      </c>
      <c r="F51" s="50">
        <f>E51/360*0.02</f>
        <v>0</v>
      </c>
      <c r="G51" s="44">
        <f>IF(F51&lt;=0.2,F51,0.2)</f>
        <v>0</v>
      </c>
      <c r="H51" s="45">
        <f>'sheet 3'!B11</f>
        <v>2100</v>
      </c>
      <c r="I51" s="66">
        <f>ROUND(H51*G51,0)</f>
        <v>0</v>
      </c>
      <c r="J51" s="45"/>
    </row>
    <row r="52" spans="1:10" x14ac:dyDescent="0.2">
      <c r="G52" s="44">
        <f>SUM(G50:G51)</f>
        <v>0</v>
      </c>
      <c r="I52" s="45">
        <f>SUM(I50:I51)</f>
        <v>0</v>
      </c>
      <c r="J52" s="50">
        <f>IF(G52&gt;=0/2,20%,G52)</f>
        <v>0.2</v>
      </c>
    </row>
    <row r="53" spans="1:10" x14ac:dyDescent="0.2">
      <c r="A53" s="44" t="s">
        <v>24</v>
      </c>
      <c r="B53" s="44" t="s">
        <v>25</v>
      </c>
      <c r="C53" s="44" t="s">
        <v>28</v>
      </c>
      <c r="D53" s="44" t="s">
        <v>27</v>
      </c>
    </row>
    <row r="54" spans="1:10" x14ac:dyDescent="0.2">
      <c r="B54" s="44">
        <v>5</v>
      </c>
      <c r="C54" s="67" t="s">
        <v>30</v>
      </c>
      <c r="D54" s="48">
        <v>400</v>
      </c>
      <c r="F54" s="44" t="s">
        <v>11</v>
      </c>
      <c r="G54" s="44" t="s">
        <v>12</v>
      </c>
      <c r="H54" s="44" t="s">
        <v>13</v>
      </c>
    </row>
    <row r="55" spans="1:10" x14ac:dyDescent="0.2">
      <c r="B55" s="44">
        <v>10</v>
      </c>
      <c r="C55" s="67" t="s">
        <v>31</v>
      </c>
      <c r="D55" s="48">
        <v>500</v>
      </c>
      <c r="E55" s="44" t="s">
        <v>56</v>
      </c>
    </row>
    <row r="56" spans="1:10" x14ac:dyDescent="0.2">
      <c r="B56" s="44">
        <v>15</v>
      </c>
      <c r="C56" s="67" t="s">
        <v>32</v>
      </c>
      <c r="D56" s="48">
        <v>600</v>
      </c>
    </row>
    <row r="57" spans="1:10" x14ac:dyDescent="0.2">
      <c r="B57" s="44">
        <v>20</v>
      </c>
      <c r="C57" s="67" t="s">
        <v>33</v>
      </c>
      <c r="D57" s="48">
        <v>700</v>
      </c>
      <c r="E57" s="44" t="s">
        <v>54</v>
      </c>
    </row>
    <row r="58" spans="1:10" x14ac:dyDescent="0.2">
      <c r="B58" s="44">
        <v>25</v>
      </c>
      <c r="C58" s="67" t="s">
        <v>34</v>
      </c>
      <c r="D58" s="48">
        <v>800</v>
      </c>
    </row>
    <row r="59" spans="1:10" x14ac:dyDescent="0.2">
      <c r="B59" s="44">
        <v>30</v>
      </c>
      <c r="C59" s="67" t="s">
        <v>35</v>
      </c>
      <c r="D59" s="48">
        <v>900</v>
      </c>
    </row>
    <row r="60" spans="1:10" x14ac:dyDescent="0.2">
      <c r="B60" s="44">
        <v>35</v>
      </c>
      <c r="C60" s="67" t="s">
        <v>36</v>
      </c>
      <c r="D60" s="48">
        <v>1000</v>
      </c>
    </row>
    <row r="61" spans="1:10" x14ac:dyDescent="0.2">
      <c r="B61" s="44">
        <v>40</v>
      </c>
      <c r="C61" s="67" t="s">
        <v>37</v>
      </c>
      <c r="D61" s="48">
        <v>1100</v>
      </c>
    </row>
    <row r="62" spans="1:10" x14ac:dyDescent="0.2">
      <c r="B62" s="44">
        <v>45</v>
      </c>
      <c r="C62" s="67" t="s">
        <v>38</v>
      </c>
      <c r="D62" s="48">
        <v>1200</v>
      </c>
    </row>
    <row r="63" spans="1:10" x14ac:dyDescent="0.2">
      <c r="B63" s="44">
        <v>50</v>
      </c>
      <c r="C63" s="67" t="s">
        <v>39</v>
      </c>
      <c r="D63" s="48">
        <v>1300</v>
      </c>
    </row>
    <row r="64" spans="1:10" x14ac:dyDescent="0.2">
      <c r="B64" s="44">
        <v>60</v>
      </c>
      <c r="C64" s="67" t="s">
        <v>40</v>
      </c>
      <c r="D64" s="48">
        <v>1500</v>
      </c>
    </row>
    <row r="65" spans="1:6" x14ac:dyDescent="0.2">
      <c r="B65" s="44" t="s">
        <v>26</v>
      </c>
      <c r="C65" s="67" t="s">
        <v>41</v>
      </c>
      <c r="D65" s="48">
        <v>1550</v>
      </c>
    </row>
    <row r="66" spans="1:6" x14ac:dyDescent="0.2">
      <c r="B66" s="44" t="s">
        <v>25</v>
      </c>
      <c r="C66" s="44">
        <v>0</v>
      </c>
      <c r="D66" s="48">
        <v>0</v>
      </c>
      <c r="E66" s="44" t="s">
        <v>29</v>
      </c>
      <c r="F66" s="44" t="s">
        <v>55</v>
      </c>
    </row>
    <row r="67" spans="1:6" x14ac:dyDescent="0.2">
      <c r="E67" s="45">
        <f>MAX(C66:D66)</f>
        <v>0</v>
      </c>
      <c r="F67" s="45">
        <f>ROUND(MIN(C66:D66)*0.25,0)</f>
        <v>0</v>
      </c>
    </row>
    <row r="68" spans="1:6" x14ac:dyDescent="0.2">
      <c r="A68" s="44" t="s">
        <v>24</v>
      </c>
      <c r="B68" s="54">
        <f>E67+F67</f>
        <v>0</v>
      </c>
    </row>
    <row r="72" spans="1:6" x14ac:dyDescent="0.2">
      <c r="A72" s="44" t="s">
        <v>42</v>
      </c>
      <c r="B72" s="45">
        <f>D72+D73</f>
        <v>0</v>
      </c>
      <c r="E72" s="44" t="s">
        <v>60</v>
      </c>
    </row>
    <row r="73" spans="1:6" x14ac:dyDescent="0.2">
      <c r="A73" s="44" t="s">
        <v>43</v>
      </c>
      <c r="B73" s="45">
        <f>D73</f>
        <v>0</v>
      </c>
      <c r="E73" s="44" t="s">
        <v>43</v>
      </c>
    </row>
    <row r="74" spans="1:6" x14ac:dyDescent="0.2">
      <c r="A74" s="47" t="s">
        <v>59</v>
      </c>
      <c r="B74" s="54">
        <f>B72-B73</f>
        <v>0</v>
      </c>
    </row>
    <row r="78" spans="1:6" x14ac:dyDescent="0.2">
      <c r="A78" s="44" t="s">
        <v>42</v>
      </c>
      <c r="B78" s="45">
        <f>B72</f>
        <v>0</v>
      </c>
    </row>
    <row r="79" spans="1:6" x14ac:dyDescent="0.2">
      <c r="A79" s="44" t="s">
        <v>44</v>
      </c>
      <c r="B79" s="45">
        <f>D79*E79</f>
        <v>0</v>
      </c>
      <c r="D79" s="44">
        <v>137200</v>
      </c>
      <c r="E79" s="46"/>
    </row>
    <row r="80" spans="1:6" x14ac:dyDescent="0.2">
      <c r="A80" s="44" t="s">
        <v>45</v>
      </c>
      <c r="B80" s="45">
        <f>E80*D80</f>
        <v>0</v>
      </c>
      <c r="D80" s="44">
        <v>27440</v>
      </c>
      <c r="F80" s="44" t="s">
        <v>61</v>
      </c>
    </row>
    <row r="81" spans="1:6" x14ac:dyDescent="0.2">
      <c r="A81" s="44" t="s">
        <v>46</v>
      </c>
      <c r="B81" s="54">
        <f>SUM(B78:B80)</f>
        <v>0</v>
      </c>
    </row>
    <row r="86" spans="1:6" x14ac:dyDescent="0.2">
      <c r="A86" s="44" t="s">
        <v>47</v>
      </c>
      <c r="B86" s="45">
        <f>D86*600</f>
        <v>0</v>
      </c>
      <c r="D86" s="45">
        <f>E86*810</f>
        <v>0</v>
      </c>
      <c r="E86" s="58"/>
    </row>
    <row r="87" spans="1:6" x14ac:dyDescent="0.2">
      <c r="A87" s="44" t="s">
        <v>48</v>
      </c>
      <c r="B87" s="45">
        <f>D87*600</f>
        <v>0</v>
      </c>
      <c r="D87" s="45">
        <f>E87*210</f>
        <v>0</v>
      </c>
      <c r="E87" s="58"/>
      <c r="F87" s="44" t="s">
        <v>58</v>
      </c>
    </row>
    <row r="88" spans="1:6" x14ac:dyDescent="0.2">
      <c r="A88" s="44" t="s">
        <v>43</v>
      </c>
      <c r="B88" s="45">
        <f>B73</f>
        <v>0</v>
      </c>
    </row>
    <row r="89" spans="1:6" x14ac:dyDescent="0.2">
      <c r="A89" s="44" t="s">
        <v>49</v>
      </c>
    </row>
    <row r="93" spans="1:6" x14ac:dyDescent="0.2">
      <c r="A93" s="44" t="s">
        <v>50</v>
      </c>
      <c r="B93" s="45"/>
    </row>
    <row r="94" spans="1:6" x14ac:dyDescent="0.2">
      <c r="A94" s="44" t="s">
        <v>51</v>
      </c>
    </row>
    <row r="95" spans="1:6" x14ac:dyDescent="0.2">
      <c r="A95" s="44" t="s">
        <v>65</v>
      </c>
      <c r="B95" s="45"/>
    </row>
    <row r="96" spans="1:6" x14ac:dyDescent="0.2">
      <c r="A96" s="44" t="s">
        <v>64</v>
      </c>
    </row>
  </sheetData>
  <sheetProtection password="CBF8" sheet="1" objects="1" scenarios="1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CR49"/>
  <sheetViews>
    <sheetView rightToLeft="1" workbookViewId="0">
      <selection sqref="A1:XFD1048576"/>
    </sheetView>
  </sheetViews>
  <sheetFormatPr defaultColWidth="9.140625" defaultRowHeight="12.75" x14ac:dyDescent="0.2"/>
  <cols>
    <col min="1" max="1" width="16" style="44" customWidth="1"/>
    <col min="2" max="2" width="13.28515625" style="44" customWidth="1"/>
    <col min="3" max="3" width="9.140625" style="44"/>
    <col min="4" max="4" width="13" style="44" customWidth="1"/>
    <col min="5" max="5" width="10.7109375" style="44" customWidth="1"/>
    <col min="6" max="6" width="13" style="44" customWidth="1"/>
    <col min="7" max="16384" width="9.140625" style="44"/>
  </cols>
  <sheetData>
    <row r="1" spans="1:96" x14ac:dyDescent="0.2">
      <c r="CP1" s="44" t="s">
        <v>11</v>
      </c>
      <c r="CQ1" s="44">
        <v>0</v>
      </c>
      <c r="CR1" s="44" t="s">
        <v>13</v>
      </c>
    </row>
    <row r="2" spans="1:96" x14ac:dyDescent="0.2">
      <c r="CP2" s="44">
        <v>1</v>
      </c>
      <c r="CQ2" s="44">
        <v>1</v>
      </c>
      <c r="CR2" s="44">
        <v>1350</v>
      </c>
    </row>
    <row r="3" spans="1:96" x14ac:dyDescent="0.2">
      <c r="A3" s="44" t="s">
        <v>23</v>
      </c>
      <c r="B3" s="45">
        <f>Sheet1!G7/1695</f>
        <v>589.97050147492621</v>
      </c>
      <c r="C3" s="44">
        <f>B3*600</f>
        <v>353982.30088495574</v>
      </c>
      <c r="CP3" s="44">
        <v>2</v>
      </c>
      <c r="CQ3" s="44">
        <v>2</v>
      </c>
      <c r="CR3" s="44">
        <v>1351</v>
      </c>
    </row>
    <row r="4" spans="1:96" x14ac:dyDescent="0.2">
      <c r="A4" s="44" t="s">
        <v>22</v>
      </c>
      <c r="B4" s="45">
        <f>Sheet1!G8/'sheet 2'!P2</f>
        <v>0</v>
      </c>
      <c r="C4" s="44">
        <f>B4*600</f>
        <v>0</v>
      </c>
      <c r="G4" s="45"/>
      <c r="CP4" s="44">
        <v>3</v>
      </c>
      <c r="CQ4" s="44">
        <v>3</v>
      </c>
      <c r="CR4" s="44">
        <v>1352</v>
      </c>
    </row>
    <row r="5" spans="1:96" x14ac:dyDescent="0.2">
      <c r="B5" s="45"/>
      <c r="CP5" s="44">
        <v>4</v>
      </c>
      <c r="CQ5" s="44">
        <v>4</v>
      </c>
      <c r="CR5" s="44">
        <v>1353</v>
      </c>
    </row>
    <row r="6" spans="1:96" x14ac:dyDescent="0.2">
      <c r="A6" s="44" t="s">
        <v>0</v>
      </c>
      <c r="B6" s="45">
        <f>'sheet 2'!B8</f>
        <v>1700</v>
      </c>
      <c r="CP6" s="44">
        <v>5</v>
      </c>
      <c r="CQ6" s="44">
        <v>5</v>
      </c>
      <c r="CR6" s="44">
        <v>1354</v>
      </c>
    </row>
    <row r="7" spans="1:96" x14ac:dyDescent="0.2">
      <c r="A7" s="44" t="s">
        <v>8</v>
      </c>
      <c r="B7" s="45">
        <f>'sheet 2'!B11</f>
        <v>0</v>
      </c>
      <c r="CP7" s="44">
        <v>6</v>
      </c>
      <c r="CQ7" s="44">
        <v>6</v>
      </c>
      <c r="CR7" s="44">
        <v>1355</v>
      </c>
    </row>
    <row r="8" spans="1:96" x14ac:dyDescent="0.2">
      <c r="A8" s="44" t="s">
        <v>9</v>
      </c>
      <c r="B8" s="45">
        <f>'sheet 2'!B20</f>
        <v>400</v>
      </c>
      <c r="CP8" s="44">
        <v>7</v>
      </c>
      <c r="CQ8" s="44">
        <v>7</v>
      </c>
      <c r="CR8" s="44">
        <v>1356</v>
      </c>
    </row>
    <row r="9" spans="1:96" x14ac:dyDescent="0.2">
      <c r="A9" s="44" t="s">
        <v>10</v>
      </c>
      <c r="B9" s="45">
        <f>ROUND('sheet 2'!F37,0)</f>
        <v>0</v>
      </c>
      <c r="CP9" s="44">
        <v>8</v>
      </c>
      <c r="CQ9" s="44">
        <v>8</v>
      </c>
      <c r="CR9" s="44">
        <v>1357</v>
      </c>
    </row>
    <row r="10" spans="1:96" x14ac:dyDescent="0.2">
      <c r="A10" s="44" t="s">
        <v>15</v>
      </c>
      <c r="B10" s="45">
        <f>ROUND('sheet 2'!F47,0)</f>
        <v>0</v>
      </c>
      <c r="CP10" s="44">
        <v>9</v>
      </c>
      <c r="CQ10" s="44">
        <v>9</v>
      </c>
      <c r="CR10" s="44">
        <v>1358</v>
      </c>
    </row>
    <row r="11" spans="1:96" x14ac:dyDescent="0.2">
      <c r="A11" s="44" t="s">
        <v>7</v>
      </c>
      <c r="B11" s="45">
        <f>SUM(B6:B10)</f>
        <v>2100</v>
      </c>
      <c r="CP11" s="44">
        <v>10</v>
      </c>
      <c r="CQ11" s="44">
        <v>10</v>
      </c>
      <c r="CR11" s="44">
        <v>1359</v>
      </c>
    </row>
    <row r="12" spans="1:96" x14ac:dyDescent="0.2">
      <c r="A12" s="44" t="s">
        <v>116</v>
      </c>
      <c r="B12" s="45">
        <f>IF(B11&gt;F15,F16,B11)</f>
        <v>0</v>
      </c>
      <c r="CP12" s="44">
        <v>11</v>
      </c>
      <c r="CQ12" s="44">
        <v>11</v>
      </c>
      <c r="CR12" s="44">
        <v>1360</v>
      </c>
    </row>
    <row r="13" spans="1:96" x14ac:dyDescent="0.2">
      <c r="A13" s="44" t="s">
        <v>18</v>
      </c>
      <c r="B13" s="45">
        <f>'sheet 2'!I50</f>
        <v>0</v>
      </c>
      <c r="C13" s="46" t="s">
        <v>52</v>
      </c>
      <c r="D13" s="44" t="s">
        <v>133</v>
      </c>
      <c r="E13" s="47" t="s">
        <v>130</v>
      </c>
      <c r="CP13" s="44">
        <v>12</v>
      </c>
      <c r="CQ13" s="44">
        <v>12</v>
      </c>
      <c r="CR13" s="44">
        <v>1361</v>
      </c>
    </row>
    <row r="14" spans="1:96" x14ac:dyDescent="0.2">
      <c r="A14" s="44" t="s">
        <v>20</v>
      </c>
      <c r="B14" s="45">
        <f>'sheet 2'!I51</f>
        <v>0</v>
      </c>
      <c r="C14" s="45">
        <f>B13+B14</f>
        <v>0</v>
      </c>
      <c r="D14" s="44">
        <f>IF(C14&lt;=E14,C14,E14)</f>
        <v>0</v>
      </c>
      <c r="E14" s="44">
        <f>B11*0.2</f>
        <v>420</v>
      </c>
      <c r="F14" s="44" t="s">
        <v>132</v>
      </c>
      <c r="CP14" s="44">
        <v>13</v>
      </c>
      <c r="CR14" s="44">
        <v>1362</v>
      </c>
    </row>
    <row r="15" spans="1:96" x14ac:dyDescent="0.2">
      <c r="A15" s="44" t="s">
        <v>53</v>
      </c>
      <c r="B15" s="45">
        <f>B11+D14</f>
        <v>2100</v>
      </c>
      <c r="F15" s="48">
        <f>ROUND((B3+B4)*0.75,0)</f>
        <v>442</v>
      </c>
      <c r="CP15" s="44">
        <v>14</v>
      </c>
      <c r="CR15" s="44">
        <v>1363</v>
      </c>
    </row>
    <row r="16" spans="1:96" x14ac:dyDescent="0.2">
      <c r="A16" s="44" t="s">
        <v>131</v>
      </c>
      <c r="B16" s="45">
        <f>IF(B15&gt;F15,F15,B15)</f>
        <v>442</v>
      </c>
      <c r="CP16" s="44">
        <v>15</v>
      </c>
      <c r="CR16" s="44">
        <v>1364</v>
      </c>
    </row>
    <row r="17" spans="1:96" x14ac:dyDescent="0.2">
      <c r="A17" s="44" t="s">
        <v>117</v>
      </c>
      <c r="B17" s="49">
        <f>ROUND(B16*B18,0)</f>
        <v>442</v>
      </c>
      <c r="CP17" s="44">
        <v>16</v>
      </c>
      <c r="CR17" s="44">
        <v>1365</v>
      </c>
    </row>
    <row r="18" spans="1:96" x14ac:dyDescent="0.2">
      <c r="A18" s="44" t="s">
        <v>118</v>
      </c>
      <c r="B18" s="50">
        <f>Sheet1!D35</f>
        <v>1</v>
      </c>
      <c r="CP18" s="44">
        <v>17</v>
      </c>
      <c r="CR18" s="44">
        <v>1366</v>
      </c>
    </row>
    <row r="19" spans="1:96" x14ac:dyDescent="0.2">
      <c r="CP19" s="44">
        <v>18</v>
      </c>
      <c r="CR19" s="44">
        <v>1367</v>
      </c>
    </row>
    <row r="20" spans="1:96" x14ac:dyDescent="0.2">
      <c r="CP20" s="44">
        <v>19</v>
      </c>
      <c r="CR20" s="44">
        <v>1368</v>
      </c>
    </row>
    <row r="21" spans="1:96" x14ac:dyDescent="0.2">
      <c r="CP21" s="44">
        <v>20</v>
      </c>
      <c r="CR21" s="44">
        <v>1369</v>
      </c>
    </row>
    <row r="22" spans="1:96" x14ac:dyDescent="0.2">
      <c r="CP22" s="44">
        <v>21</v>
      </c>
      <c r="CR22" s="44">
        <v>1370</v>
      </c>
    </row>
    <row r="23" spans="1:96" x14ac:dyDescent="0.2">
      <c r="CP23" s="44">
        <v>22</v>
      </c>
      <c r="CR23" s="44">
        <v>1371</v>
      </c>
    </row>
    <row r="24" spans="1:96" x14ac:dyDescent="0.2">
      <c r="CP24" s="44">
        <v>23</v>
      </c>
      <c r="CR24" s="44">
        <v>1372</v>
      </c>
    </row>
    <row r="25" spans="1:96" x14ac:dyDescent="0.2">
      <c r="CP25" s="44">
        <v>24</v>
      </c>
      <c r="CR25" s="44">
        <v>1373</v>
      </c>
    </row>
    <row r="26" spans="1:96" x14ac:dyDescent="0.2">
      <c r="CP26" s="44">
        <v>25</v>
      </c>
      <c r="CR26" s="44">
        <v>1374</v>
      </c>
    </row>
    <row r="27" spans="1:96" x14ac:dyDescent="0.2">
      <c r="CP27" s="44">
        <v>26</v>
      </c>
      <c r="CR27" s="44">
        <v>1375</v>
      </c>
    </row>
    <row r="28" spans="1:96" x14ac:dyDescent="0.2">
      <c r="CP28" s="44">
        <v>27</v>
      </c>
      <c r="CR28" s="44">
        <v>1376</v>
      </c>
    </row>
    <row r="29" spans="1:96" x14ac:dyDescent="0.2">
      <c r="CP29" s="44">
        <v>28</v>
      </c>
      <c r="CR29" s="44">
        <v>1377</v>
      </c>
    </row>
    <row r="30" spans="1:96" x14ac:dyDescent="0.2">
      <c r="CP30" s="44">
        <v>29</v>
      </c>
      <c r="CR30" s="44">
        <v>1378</v>
      </c>
    </row>
    <row r="31" spans="1:96" x14ac:dyDescent="0.2">
      <c r="CP31" s="44">
        <v>30</v>
      </c>
      <c r="CR31" s="44">
        <v>1379</v>
      </c>
    </row>
    <row r="32" spans="1:96" x14ac:dyDescent="0.2">
      <c r="CP32" s="44">
        <v>31</v>
      </c>
      <c r="CR32" s="44">
        <v>1380</v>
      </c>
    </row>
    <row r="33" spans="96:96" x14ac:dyDescent="0.2">
      <c r="CR33" s="44">
        <v>1381</v>
      </c>
    </row>
    <row r="34" spans="96:96" x14ac:dyDescent="0.2">
      <c r="CR34" s="44">
        <v>1382</v>
      </c>
    </row>
    <row r="35" spans="96:96" x14ac:dyDescent="0.2">
      <c r="CR35" s="44">
        <v>1383</v>
      </c>
    </row>
    <row r="36" spans="96:96" x14ac:dyDescent="0.2">
      <c r="CR36" s="44">
        <v>1384</v>
      </c>
    </row>
    <row r="37" spans="96:96" x14ac:dyDescent="0.2">
      <c r="CR37" s="44">
        <v>1385</v>
      </c>
    </row>
    <row r="38" spans="96:96" x14ac:dyDescent="0.2">
      <c r="CR38" s="44">
        <v>1386</v>
      </c>
    </row>
    <row r="39" spans="96:96" x14ac:dyDescent="0.2">
      <c r="CR39" s="44">
        <v>1387</v>
      </c>
    </row>
    <row r="40" spans="96:96" x14ac:dyDescent="0.2">
      <c r="CR40" s="44">
        <v>1388</v>
      </c>
    </row>
    <row r="41" spans="96:96" x14ac:dyDescent="0.2">
      <c r="CR41" s="44">
        <v>1389</v>
      </c>
    </row>
    <row r="42" spans="96:96" x14ac:dyDescent="0.2">
      <c r="CR42" s="44">
        <v>1390</v>
      </c>
    </row>
    <row r="43" spans="96:96" x14ac:dyDescent="0.2">
      <c r="CR43" s="44">
        <v>1391</v>
      </c>
    </row>
    <row r="44" spans="96:96" x14ac:dyDescent="0.2">
      <c r="CR44" s="44">
        <v>1392</v>
      </c>
    </row>
    <row r="45" spans="96:96" x14ac:dyDescent="0.2">
      <c r="CR45" s="44">
        <v>1393</v>
      </c>
    </row>
    <row r="46" spans="96:96" x14ac:dyDescent="0.2">
      <c r="CR46" s="44">
        <v>1394</v>
      </c>
    </row>
    <row r="47" spans="96:96" x14ac:dyDescent="0.2">
      <c r="CR47" s="44">
        <v>1395</v>
      </c>
    </row>
    <row r="48" spans="96:96" x14ac:dyDescent="0.2">
      <c r="CR48" s="44">
        <v>1396</v>
      </c>
    </row>
    <row r="49" spans="96:96" x14ac:dyDescent="0.2">
      <c r="CR49" s="44">
        <v>1397</v>
      </c>
    </row>
  </sheetData>
  <sheetProtection password="CBF8" sheet="1" objects="1" scenarios="1" selectLockedCells="1" selectUnlockedCells="1"/>
  <phoneticPr fontId="2" type="noConversion"/>
  <pageMargins left="0.75" right="0.75" top="1" bottom="1" header="0.5" footer="0.5"/>
  <pageSetup paperSize="9" orientation="portrait" r:id="rId1"/>
  <headerFooter alignWithMargins="0"/>
  <ignoredErrors>
    <ignoredError sqref="C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 2</vt:lpstr>
      <vt:lpstr>sheet 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fazel</dc:creator>
  <cp:lastModifiedBy>Microsoft</cp:lastModifiedBy>
  <cp:lastPrinted>2018-06-11T09:19:12Z</cp:lastPrinted>
  <dcterms:created xsi:type="dcterms:W3CDTF">2009-05-18T04:20:18Z</dcterms:created>
  <dcterms:modified xsi:type="dcterms:W3CDTF">2018-06-13T15:03:13Z</dcterms:modified>
</cp:coreProperties>
</file>