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iagrams/data2.xml" ContentType="application/vnd.openxmlformats-officedocument.drawingml.diagramData+xml"/>
  <Override PartName="/xl/diagrams/layout2.xml" ContentType="application/vnd.openxmlformats-officedocument.drawingml.diagramLayout+xml"/>
  <Override PartName="/xl/diagrams/quickStyle2.xml" ContentType="application/vnd.openxmlformats-officedocument.drawingml.diagramStyle+xml"/>
  <Override PartName="/xl/diagrams/colors2.xml" ContentType="application/vnd.openxmlformats-officedocument.drawingml.diagramColors+xml"/>
  <Override PartName="/xl/diagrams/drawing2.xml" ContentType="application/vnd.ms-office.drawingml.diagram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iagrams/data3.xml" ContentType="application/vnd.openxmlformats-officedocument.drawingml.diagramData+xml"/>
  <Override PartName="/xl/diagrams/layout3.xml" ContentType="application/vnd.openxmlformats-officedocument.drawingml.diagramLayout+xml"/>
  <Override PartName="/xl/diagrams/quickStyle3.xml" ContentType="application/vnd.openxmlformats-officedocument.drawingml.diagramStyle+xml"/>
  <Override PartName="/xl/diagrams/colors3.xml" ContentType="application/vnd.openxmlformats-officedocument.drawingml.diagramColors+xml"/>
  <Override PartName="/xl/diagrams/drawing3.xml" ContentType="application/vnd.ms-office.drawingml.diagramDrawing+xml"/>
  <Override PartName="/xl/drawings/drawing4.xml" ContentType="application/vnd.openxmlformats-officedocument.drawing+xml"/>
  <Override PartName="/xl/diagrams/data4.xml" ContentType="application/vnd.openxmlformats-officedocument.drawingml.diagramData+xml"/>
  <Override PartName="/xl/diagrams/layout4.xml" ContentType="application/vnd.openxmlformats-officedocument.drawingml.diagramLayout+xml"/>
  <Override PartName="/xl/diagrams/quickStyle4.xml" ContentType="application/vnd.openxmlformats-officedocument.drawingml.diagramStyle+xml"/>
  <Override PartName="/xl/diagrams/colors4.xml" ContentType="application/vnd.openxmlformats-officedocument.drawingml.diagramColors+xml"/>
  <Override PartName="/xl/diagrams/drawing4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aser\Desktop\"/>
    </mc:Choice>
  </mc:AlternateContent>
  <bookViews>
    <workbookView xWindow="0" yWindow="0" windowWidth="20490" windowHeight="8940" tabRatio="727"/>
  </bookViews>
  <sheets>
    <sheet name="اصلی" sheetId="9" r:id="rId1"/>
    <sheet name="رسمی پیمانی" sheetId="5" r:id="rId2"/>
    <sheet name="جزییات حق شاغل رسمی" sheetId="1" state="hidden" r:id="rId3"/>
    <sheet name="قراردادانجام کارمعین" sheetId="10" r:id="rId4"/>
    <sheet name="بازنشستگان و موظفین" sheetId="12" r:id="rId5"/>
    <sheet name="جزییات حق شاغل قراردادی" sheetId="11" state="hidden" r:id="rId6"/>
  </sheets>
  <definedNames>
    <definedName name="_xlnm.Print_Area" localSheetId="0">اصلی!$A$1:$J$12</definedName>
    <definedName name="_xlnm.Print_Area" localSheetId="4">'بازنشستگان و موظفین'!$A$1:$K$7</definedName>
    <definedName name="_xlnm.Print_Area" localSheetId="1">'رسمی پیمانی'!$A$2:$K$49</definedName>
    <definedName name="_xlnm.Print_Area" localSheetId="3">'قراردادانجام کارمعین'!$A$1:$K$45</definedName>
  </definedNames>
  <calcPr calcId="162913"/>
</workbook>
</file>

<file path=xl/calcChain.xml><?xml version="1.0" encoding="utf-8"?>
<calcChain xmlns="http://schemas.openxmlformats.org/spreadsheetml/2006/main">
  <c r="J6" i="5" l="1"/>
  <c r="J7" i="5"/>
  <c r="B90" i="1"/>
  <c r="F84" i="1"/>
  <c r="B84" i="1"/>
  <c r="B86" i="1"/>
  <c r="B88" i="1" s="1"/>
  <c r="K16" i="5" l="1"/>
  <c r="K14" i="5"/>
  <c r="K13" i="5"/>
  <c r="K12" i="5"/>
  <c r="K11" i="5"/>
  <c r="K10" i="5"/>
  <c r="K9" i="5"/>
  <c r="K8" i="5"/>
  <c r="K6" i="5"/>
  <c r="K5" i="5"/>
  <c r="J25" i="5"/>
  <c r="K25" i="5" s="1"/>
  <c r="E83" i="1"/>
  <c r="J26" i="5"/>
  <c r="K26" i="5" s="1"/>
  <c r="K19" i="5"/>
  <c r="K18" i="5"/>
  <c r="N21" i="10" l="1"/>
  <c r="M21" i="10"/>
  <c r="H7" i="12" l="1"/>
  <c r="F16" i="10" l="1"/>
  <c r="F15" i="10"/>
  <c r="B75" i="11" l="1"/>
  <c r="C75" i="11" s="1"/>
  <c r="B74" i="11"/>
  <c r="B73" i="11"/>
  <c r="F85" i="11" s="1"/>
  <c r="B74" i="1"/>
  <c r="B73" i="1"/>
  <c r="B72" i="1"/>
  <c r="K16" i="10"/>
  <c r="J14" i="10"/>
  <c r="J13" i="10"/>
  <c r="J12" i="10"/>
  <c r="J11" i="10"/>
  <c r="J10" i="10"/>
  <c r="J9" i="10"/>
  <c r="J6" i="10"/>
  <c r="J5" i="10"/>
  <c r="K5" i="10" s="1"/>
  <c r="F14" i="10"/>
  <c r="F13" i="10"/>
  <c r="F12" i="10"/>
  <c r="F11" i="10"/>
  <c r="F10" i="10"/>
  <c r="F9" i="10"/>
  <c r="F8" i="10"/>
  <c r="F7" i="10"/>
  <c r="F6" i="10"/>
  <c r="F5" i="10"/>
  <c r="D21" i="10" l="1"/>
  <c r="J19" i="10" s="1"/>
  <c r="D20" i="10"/>
  <c r="J18" i="10" s="1"/>
  <c r="D17" i="10"/>
  <c r="J15" i="10" s="1"/>
  <c r="F16" i="5"/>
  <c r="F15" i="5"/>
  <c r="F14" i="5"/>
  <c r="F13" i="5"/>
  <c r="F12" i="5"/>
  <c r="F11" i="5"/>
  <c r="F10" i="5"/>
  <c r="F9" i="5"/>
  <c r="F8" i="5"/>
  <c r="F7" i="5"/>
  <c r="F6" i="5"/>
  <c r="F5" i="5"/>
  <c r="D24" i="5" s="1"/>
  <c r="D18" i="5" l="1"/>
  <c r="J17" i="5" s="1"/>
  <c r="J23" i="5"/>
  <c r="K23" i="5"/>
  <c r="F27" i="5"/>
  <c r="D21" i="5"/>
  <c r="J20" i="5" s="1"/>
  <c r="D22" i="5"/>
  <c r="J21" i="5" s="1"/>
  <c r="B10" i="1"/>
  <c r="B10" i="11"/>
  <c r="E67" i="11"/>
  <c r="F67" i="11"/>
  <c r="B26" i="11"/>
  <c r="C26" i="11"/>
  <c r="D26" i="11"/>
  <c r="E26" i="11" s="1"/>
  <c r="F26" i="11" s="1"/>
  <c r="B27" i="11"/>
  <c r="J26" i="11" s="1"/>
  <c r="C27" i="11"/>
  <c r="D27" i="11"/>
  <c r="B28" i="11"/>
  <c r="J27" i="11" s="1"/>
  <c r="C28" i="11"/>
  <c r="D28" i="11"/>
  <c r="B29" i="11"/>
  <c r="J28" i="11" s="1"/>
  <c r="C29" i="11"/>
  <c r="K28" i="11" s="1"/>
  <c r="D29" i="11"/>
  <c r="B30" i="11"/>
  <c r="J29" i="11" s="1"/>
  <c r="C30" i="11"/>
  <c r="D30" i="11"/>
  <c r="C25" i="11"/>
  <c r="D25" i="11"/>
  <c r="B25" i="11"/>
  <c r="J24" i="11" s="1"/>
  <c r="B42" i="11"/>
  <c r="J41" i="11" s="1"/>
  <c r="C42" i="11"/>
  <c r="D42" i="11"/>
  <c r="B43" i="11"/>
  <c r="C43" i="11"/>
  <c r="D43" i="11"/>
  <c r="L42" i="11" s="1"/>
  <c r="B44" i="11"/>
  <c r="J43" i="11" s="1"/>
  <c r="C44" i="11"/>
  <c r="D44" i="11"/>
  <c r="L43" i="11" s="1"/>
  <c r="B45" i="11"/>
  <c r="J44" i="11" s="1"/>
  <c r="C45" i="11"/>
  <c r="D45" i="11"/>
  <c r="B46" i="11"/>
  <c r="J45" i="11" s="1"/>
  <c r="C46" i="11"/>
  <c r="D46" i="11"/>
  <c r="J42" i="11"/>
  <c r="C41" i="11"/>
  <c r="D41" i="11"/>
  <c r="L40" i="11" s="1"/>
  <c r="B41" i="11"/>
  <c r="J40" i="11" s="1"/>
  <c r="B51" i="11"/>
  <c r="C51" i="11"/>
  <c r="D51" i="11"/>
  <c r="C50" i="11"/>
  <c r="D50" i="11"/>
  <c r="B50" i="11"/>
  <c r="K25" i="11"/>
  <c r="K26" i="11"/>
  <c r="K29" i="11"/>
  <c r="K24" i="11"/>
  <c r="L41" i="11"/>
  <c r="E36" i="11"/>
  <c r="F36" i="11" s="1"/>
  <c r="L35" i="11"/>
  <c r="K35" i="11"/>
  <c r="J35" i="11"/>
  <c r="E35" i="11"/>
  <c r="F35" i="11" s="1"/>
  <c r="L34" i="11"/>
  <c r="K34" i="11"/>
  <c r="J34" i="11"/>
  <c r="F34" i="11"/>
  <c r="E34" i="11"/>
  <c r="L33" i="11"/>
  <c r="K33" i="11"/>
  <c r="J33" i="11"/>
  <c r="E33" i="11"/>
  <c r="F33" i="11" s="1"/>
  <c r="L32" i="11"/>
  <c r="K32" i="11"/>
  <c r="J32" i="11"/>
  <c r="E32" i="11"/>
  <c r="F32" i="11" s="1"/>
  <c r="L31" i="11"/>
  <c r="K31" i="11"/>
  <c r="J31" i="11"/>
  <c r="E31" i="11"/>
  <c r="J25" i="11"/>
  <c r="C10" i="11"/>
  <c r="B11" i="11" s="1"/>
  <c r="B77" i="11" s="1"/>
  <c r="E46" i="11" l="1"/>
  <c r="F46" i="11" s="1"/>
  <c r="B68" i="11"/>
  <c r="L45" i="11"/>
  <c r="E51" i="11"/>
  <c r="F51" i="11" s="1"/>
  <c r="G51" i="11" s="1"/>
  <c r="E50" i="11"/>
  <c r="F50" i="11" s="1"/>
  <c r="G50" i="11" s="1"/>
  <c r="E42" i="11"/>
  <c r="F42" i="11" s="1"/>
  <c r="E28" i="11"/>
  <c r="F28" i="11" s="1"/>
  <c r="E41" i="11"/>
  <c r="F41" i="11" s="1"/>
  <c r="E45" i="11"/>
  <c r="F45" i="11" s="1"/>
  <c r="E44" i="11"/>
  <c r="F44" i="11" s="1"/>
  <c r="K27" i="11"/>
  <c r="E43" i="11"/>
  <c r="F43" i="11" s="1"/>
  <c r="L44" i="11"/>
  <c r="J46" i="11"/>
  <c r="J47" i="11" s="1"/>
  <c r="E30" i="11"/>
  <c r="F30" i="11" s="1"/>
  <c r="E29" i="11"/>
  <c r="F29" i="11" s="1"/>
  <c r="E25" i="11"/>
  <c r="F25" i="11" s="1"/>
  <c r="E27" i="11"/>
  <c r="F27" i="11" s="1"/>
  <c r="J36" i="11"/>
  <c r="J37" i="11" s="1"/>
  <c r="J38" i="11"/>
  <c r="K23" i="11" s="1"/>
  <c r="K40" i="11"/>
  <c r="K41" i="11"/>
  <c r="K42" i="11"/>
  <c r="K43" i="11"/>
  <c r="K44" i="11"/>
  <c r="K45" i="11"/>
  <c r="J48" i="11"/>
  <c r="K39" i="11" s="1"/>
  <c r="L24" i="11"/>
  <c r="L25" i="11"/>
  <c r="L26" i="11"/>
  <c r="L27" i="11"/>
  <c r="L28" i="11"/>
  <c r="L29" i="11"/>
  <c r="C50" i="1"/>
  <c r="D50" i="1"/>
  <c r="C51" i="1"/>
  <c r="D51" i="1"/>
  <c r="B51" i="1"/>
  <c r="B50" i="1"/>
  <c r="B42" i="1"/>
  <c r="B43" i="1"/>
  <c r="B44" i="1"/>
  <c r="B45" i="1"/>
  <c r="B46" i="1"/>
  <c r="B41" i="1"/>
  <c r="C42" i="1"/>
  <c r="C43" i="1"/>
  <c r="C44" i="1"/>
  <c r="C45" i="1"/>
  <c r="C46" i="1"/>
  <c r="C41" i="1"/>
  <c r="G52" i="11" l="1"/>
  <c r="J52" i="11" s="1"/>
  <c r="F47" i="11"/>
  <c r="B80" i="11" s="1"/>
  <c r="B37" i="11"/>
  <c r="B44" i="10"/>
  <c r="B47" i="11"/>
  <c r="I44" i="10" s="1"/>
  <c r="F37" i="11"/>
  <c r="B79" i="11" s="1"/>
  <c r="K48" i="11"/>
  <c r="L39" i="11" s="1"/>
  <c r="L47" i="11" s="1"/>
  <c r="K46" i="11"/>
  <c r="K47" i="11" s="1"/>
  <c r="K38" i="11"/>
  <c r="L23" i="11" s="1"/>
  <c r="L37" i="11" s="1"/>
  <c r="K36" i="11"/>
  <c r="K37" i="11" s="1"/>
  <c r="H23" i="10"/>
  <c r="K14" i="10"/>
  <c r="K13" i="10"/>
  <c r="K12" i="10"/>
  <c r="K11" i="10"/>
  <c r="K10" i="10"/>
  <c r="K9" i="10"/>
  <c r="J8" i="10"/>
  <c r="K8" i="10" s="1"/>
  <c r="K6" i="10"/>
  <c r="B32" i="10"/>
  <c r="H20" i="10"/>
  <c r="H19" i="10"/>
  <c r="H18" i="10"/>
  <c r="H17" i="10"/>
  <c r="H16" i="10"/>
  <c r="H15" i="10"/>
  <c r="H14" i="10"/>
  <c r="H13" i="10"/>
  <c r="H12" i="10"/>
  <c r="H11" i="10"/>
  <c r="H10" i="10"/>
  <c r="H9" i="10"/>
  <c r="H8" i="10"/>
  <c r="I7" i="10"/>
  <c r="I6" i="10"/>
  <c r="I5" i="10"/>
  <c r="J14" i="5"/>
  <c r="J13" i="5"/>
  <c r="J12" i="5"/>
  <c r="J11" i="5"/>
  <c r="J10" i="5"/>
  <c r="J9" i="5"/>
  <c r="J8" i="5"/>
  <c r="J5" i="5"/>
  <c r="H9" i="5"/>
  <c r="H10" i="5"/>
  <c r="H11" i="5"/>
  <c r="H12" i="5"/>
  <c r="H13" i="5"/>
  <c r="H14" i="5"/>
  <c r="H16" i="5"/>
  <c r="H17" i="5"/>
  <c r="H18" i="5"/>
  <c r="H19" i="5"/>
  <c r="H20" i="5"/>
  <c r="H21" i="5"/>
  <c r="H22" i="5"/>
  <c r="H27" i="5"/>
  <c r="H8" i="5"/>
  <c r="I7" i="5"/>
  <c r="I6" i="5"/>
  <c r="I5" i="5"/>
  <c r="B13" i="11" l="1"/>
  <c r="B1" i="11"/>
  <c r="C37" i="11"/>
  <c r="C44" i="10"/>
  <c r="D37" i="11"/>
  <c r="D44" i="10"/>
  <c r="D47" i="11"/>
  <c r="K44" i="10" s="1"/>
  <c r="C47" i="11"/>
  <c r="J44" i="10" s="1"/>
  <c r="F23" i="10"/>
  <c r="A8" i="11" l="1"/>
  <c r="B8" i="11"/>
  <c r="B76" i="11" s="1"/>
  <c r="B20" i="11"/>
  <c r="B78" i="11" s="1"/>
  <c r="A20" i="11"/>
  <c r="J41" i="1"/>
  <c r="J42" i="1"/>
  <c r="J43" i="1"/>
  <c r="J44" i="1"/>
  <c r="J45" i="1"/>
  <c r="J40" i="1"/>
  <c r="D42" i="1"/>
  <c r="L41" i="1" s="1"/>
  <c r="D43" i="1"/>
  <c r="L42" i="1" s="1"/>
  <c r="D44" i="1"/>
  <c r="L43" i="1" s="1"/>
  <c r="D45" i="1"/>
  <c r="L44" i="1" s="1"/>
  <c r="D46" i="1"/>
  <c r="L45" i="1" s="1"/>
  <c r="D41" i="1"/>
  <c r="L40" i="1" s="1"/>
  <c r="B26" i="1"/>
  <c r="J25" i="1" s="1"/>
  <c r="B27" i="1"/>
  <c r="J26" i="1" s="1"/>
  <c r="B28" i="1"/>
  <c r="J27" i="1" s="1"/>
  <c r="B29" i="1"/>
  <c r="J28" i="1" s="1"/>
  <c r="B30" i="1"/>
  <c r="J29" i="1" s="1"/>
  <c r="B25" i="1"/>
  <c r="J24" i="1" s="1"/>
  <c r="D26" i="1"/>
  <c r="L25" i="1" s="1"/>
  <c r="D27" i="1"/>
  <c r="L26" i="1" s="1"/>
  <c r="D28" i="1"/>
  <c r="L27" i="1" s="1"/>
  <c r="D29" i="1"/>
  <c r="L28" i="1" s="1"/>
  <c r="D30" i="1"/>
  <c r="L29" i="1" s="1"/>
  <c r="D25" i="1"/>
  <c r="L24" i="1" s="1"/>
  <c r="C10" i="1"/>
  <c r="B11" i="1" s="1"/>
  <c r="B76" i="1" s="1"/>
  <c r="B36" i="5"/>
  <c r="K41" i="1"/>
  <c r="K43" i="1"/>
  <c r="K45" i="1"/>
  <c r="C26" i="1"/>
  <c r="K25" i="1" s="1"/>
  <c r="C27" i="1"/>
  <c r="C28" i="1"/>
  <c r="K27" i="1" s="1"/>
  <c r="C29" i="1"/>
  <c r="C30" i="1"/>
  <c r="K29" i="1" s="1"/>
  <c r="C25" i="1"/>
  <c r="K24" i="1" s="1"/>
  <c r="K33" i="1"/>
  <c r="K34" i="1"/>
  <c r="J31" i="1"/>
  <c r="J32" i="1"/>
  <c r="J33" i="1"/>
  <c r="J34" i="1"/>
  <c r="K31" i="1"/>
  <c r="K32" i="1"/>
  <c r="E31" i="1"/>
  <c r="L31" i="1"/>
  <c r="L32" i="1"/>
  <c r="L33" i="1"/>
  <c r="L34" i="1"/>
  <c r="J35" i="1"/>
  <c r="K35" i="1"/>
  <c r="L35" i="1"/>
  <c r="E35" i="1"/>
  <c r="F35" i="1" s="1"/>
  <c r="E34" i="1"/>
  <c r="F34" i="1" s="1"/>
  <c r="E33" i="1"/>
  <c r="F33" i="1" s="1"/>
  <c r="E32" i="1"/>
  <c r="F32" i="1" s="1"/>
  <c r="E36" i="1"/>
  <c r="F36" i="1" s="1"/>
  <c r="E67" i="1"/>
  <c r="F67" i="1"/>
  <c r="B81" i="11" l="1"/>
  <c r="E84" i="11" s="1"/>
  <c r="B1" i="1"/>
  <c r="A8" i="1" s="1"/>
  <c r="B13" i="1"/>
  <c r="B68" i="1"/>
  <c r="E26" i="1"/>
  <c r="F26" i="1" s="1"/>
  <c r="E50" i="1"/>
  <c r="F50" i="1" s="1"/>
  <c r="G50" i="1" s="1"/>
  <c r="E28" i="1"/>
  <c r="F28" i="1" s="1"/>
  <c r="E46" i="1"/>
  <c r="F46" i="1" s="1"/>
  <c r="E30" i="1"/>
  <c r="F30" i="1" s="1"/>
  <c r="E42" i="1"/>
  <c r="F42" i="1" s="1"/>
  <c r="E44" i="1"/>
  <c r="F44" i="1" s="1"/>
  <c r="E51" i="1"/>
  <c r="F51" i="1" s="1"/>
  <c r="G51" i="1" s="1"/>
  <c r="K40" i="1"/>
  <c r="E41" i="1"/>
  <c r="F41" i="1" s="1"/>
  <c r="J36" i="1"/>
  <c r="J37" i="1" s="1"/>
  <c r="J48" i="1"/>
  <c r="K39" i="1" s="1"/>
  <c r="K26" i="1"/>
  <c r="E27" i="1"/>
  <c r="F27" i="1" s="1"/>
  <c r="K28" i="1"/>
  <c r="E29" i="1"/>
  <c r="F29" i="1" s="1"/>
  <c r="K42" i="1"/>
  <c r="E43" i="1"/>
  <c r="F43" i="1" s="1"/>
  <c r="E25" i="1"/>
  <c r="F25" i="1" s="1"/>
  <c r="J38" i="1"/>
  <c r="K23" i="1" s="1"/>
  <c r="J46" i="1"/>
  <c r="J47" i="1" s="1"/>
  <c r="K44" i="1"/>
  <c r="E45" i="1"/>
  <c r="F45" i="1" s="1"/>
  <c r="B8" i="1" l="1"/>
  <c r="B75" i="1" s="1"/>
  <c r="G52" i="1"/>
  <c r="J52" i="1" s="1"/>
  <c r="A20" i="1"/>
  <c r="B20" i="1"/>
  <c r="B77" i="1" s="1"/>
  <c r="F37" i="1"/>
  <c r="B78" i="1" s="1"/>
  <c r="K46" i="1"/>
  <c r="K47" i="1" s="1"/>
  <c r="K48" i="1"/>
  <c r="L39" i="1" s="1"/>
  <c r="L47" i="1" s="1"/>
  <c r="B48" i="5"/>
  <c r="B37" i="1"/>
  <c r="I48" i="5"/>
  <c r="B47" i="1"/>
  <c r="F47" i="1"/>
  <c r="B79" i="1" s="1"/>
  <c r="K36" i="1"/>
  <c r="K37" i="1" s="1"/>
  <c r="K38" i="1"/>
  <c r="L23" i="1" s="1"/>
  <c r="L37" i="1" s="1"/>
  <c r="B80" i="1" l="1"/>
  <c r="H50" i="11"/>
  <c r="I50" i="11" s="1"/>
  <c r="K48" i="5"/>
  <c r="D48" i="5"/>
  <c r="D37" i="1"/>
  <c r="J48" i="5"/>
  <c r="C47" i="1"/>
  <c r="C37" i="1"/>
  <c r="C48" i="5"/>
  <c r="D47" i="1"/>
  <c r="H51" i="11" l="1"/>
  <c r="I51" i="11" s="1"/>
  <c r="I52" i="11" s="1"/>
  <c r="H50" i="1"/>
  <c r="H51" i="1"/>
  <c r="I51" i="1" l="1"/>
  <c r="I50" i="1"/>
  <c r="B82" i="1" s="1"/>
  <c r="B84" i="11" l="1"/>
  <c r="B83" i="1"/>
  <c r="C83" i="1" s="1"/>
  <c r="D83" i="1" s="1"/>
  <c r="B85" i="1" s="1"/>
  <c r="B83" i="11"/>
  <c r="I52" i="1"/>
  <c r="C84" i="11" l="1"/>
  <c r="D84" i="11" s="1"/>
  <c r="B85" i="11" s="1"/>
  <c r="B86" i="11" s="1"/>
  <c r="B87" i="11" s="1"/>
  <c r="B89" i="11" s="1"/>
  <c r="J7" i="10" l="1"/>
  <c r="K7" i="10" s="1"/>
  <c r="K7" i="5"/>
  <c r="K17" i="5" l="1"/>
  <c r="K22" i="5" s="1"/>
  <c r="K21" i="5"/>
  <c r="K20" i="5"/>
  <c r="K19" i="10"/>
  <c r="K18" i="10"/>
  <c r="K15" i="10"/>
  <c r="M27" i="5" l="1"/>
  <c r="K15" i="5" s="1"/>
  <c r="K20" i="10"/>
  <c r="M23" i="10" s="1"/>
  <c r="M20" i="10" s="1"/>
  <c r="N19" i="10" s="1"/>
  <c r="M28" i="5" l="1"/>
  <c r="K21" i="10"/>
  <c r="K22" i="10"/>
  <c r="K23" i="10" l="1"/>
  <c r="K25" i="10" s="1"/>
  <c r="K26" i="10" s="1"/>
  <c r="M19" i="10"/>
  <c r="J21" i="10" s="1"/>
  <c r="K24" i="5" l="1"/>
  <c r="K27" i="5" s="1"/>
  <c r="K29" i="5" s="1"/>
  <c r="K30" i="5" l="1"/>
</calcChain>
</file>

<file path=xl/comments1.xml><?xml version="1.0" encoding="utf-8"?>
<comments xmlns="http://schemas.openxmlformats.org/spreadsheetml/2006/main">
  <authors>
    <author>Naseer</author>
    <author>S.mohri</author>
  </authors>
  <commentList>
    <comment ref="C35" authorId="0" shapeId="0">
      <text>
        <r>
          <rPr>
            <b/>
            <sz val="9"/>
            <color indexed="81"/>
            <rFont val="Tahoma"/>
            <family val="2"/>
          </rPr>
          <t xml:space="preserve">
آخرین مدرک تحصیلی که در حکم سال 1399 اعمال گردیده را انتخاب نمایید
</t>
        </r>
      </text>
    </comment>
    <comment ref="F35" authorId="0" shapeId="0">
      <text>
        <r>
          <rPr>
            <b/>
            <sz val="9"/>
            <color indexed="81"/>
            <rFont val="Tahoma"/>
            <family val="2"/>
          </rPr>
          <t xml:space="preserve">مدت خدمت در پست های سرپرستی و مدیریتی را محاسبه و به تفکیک روز /ماه / سال وارد نمایید
</t>
        </r>
      </text>
    </comment>
    <comment ref="C37" authorId="1" shapeId="0">
      <text>
        <r>
          <rPr>
            <b/>
            <sz val="9"/>
            <color indexed="81"/>
            <rFont val="Tahoma"/>
            <family val="2"/>
          </rPr>
          <t>حداکثر میزان ساعات آموزشی 1000 ساعت می باشد. بیشتر از این ساعت در امتیاز حق شاغل تاثیری ندارد.</t>
        </r>
      </text>
    </comment>
    <comment ref="A40" authorId="0" shapeId="0">
      <text>
        <r>
          <rPr>
            <b/>
            <sz val="9"/>
            <color indexed="81"/>
            <rFont val="Tahoma"/>
            <family val="2"/>
          </rPr>
          <t>حداکثر جمع مدت سابقه دولتی قابل قبول 35 سال می باشد
لطفا از درج مدت بیش از 35 سال خودداری نمایید
* مدت خدمت وظیفه عمومی جزو سنوات دولتی قابل احتساب می باشد</t>
        </r>
      </text>
    </comment>
    <comment ref="F40" authorId="0" shapeId="0">
      <text>
        <r>
          <rPr>
            <b/>
            <sz val="9"/>
            <color indexed="81"/>
            <rFont val="Tahoma"/>
            <family val="2"/>
          </rPr>
          <t>حداکثر جمع مدت تجربه قابل احتساب 35 سال می باشد
لطفا از درج مدت بیش از 35 سال خودداری نمایید</t>
        </r>
      </text>
    </comment>
  </commentList>
</comments>
</file>

<file path=xl/comments2.xml><?xml version="1.0" encoding="utf-8"?>
<comments xmlns="http://schemas.openxmlformats.org/spreadsheetml/2006/main">
  <authors>
    <author>Naseer</author>
    <author>S.mohri</author>
  </authors>
  <commentList>
    <comment ref="C31" authorId="0" shapeId="0">
      <text>
        <r>
          <rPr>
            <b/>
            <sz val="9"/>
            <color indexed="81"/>
            <rFont val="Tahoma"/>
            <family val="2"/>
          </rPr>
          <t xml:space="preserve">
آخرین مدرک تحصیلی که در حکم سال 1399 اعمال گردیده را انتخاب نمایید
</t>
        </r>
      </text>
    </comment>
    <comment ref="F31" authorId="0" shapeId="0">
      <text>
        <r>
          <rPr>
            <b/>
            <sz val="9"/>
            <color indexed="81"/>
            <rFont val="Tahoma"/>
            <family val="2"/>
          </rPr>
          <t xml:space="preserve">مدت خدمت در پست های سرپرستی و مدیریتی را محاسبه و به تفکیک روز /ماه / سال وارد نمایید
</t>
        </r>
      </text>
    </comment>
    <comment ref="C33" authorId="1" shapeId="0">
      <text>
        <r>
          <rPr>
            <b/>
            <sz val="9"/>
            <color indexed="81"/>
            <rFont val="Tahoma"/>
            <family val="2"/>
          </rPr>
          <t>حداکثر میزان ساعات آموزشی 1000 ساعت می باشد. بیشتر از این ساعت در امتیاز حق شاغل تاثیری ندارد.</t>
        </r>
      </text>
    </comment>
    <comment ref="A36" authorId="0" shapeId="0">
      <text>
        <r>
          <rPr>
            <b/>
            <sz val="9"/>
            <color indexed="81"/>
            <rFont val="Tahoma"/>
            <family val="2"/>
          </rPr>
          <t>حداکثر جمع مدت سابقه دولتی قابل قبول 35 سال می باشد
لطفا از درج مدت بیش از 35 سال خودداری نمایید
* مدت خدمت وظیفه عمومی جزو سنوات دولتی قابل احتساب می باشد</t>
        </r>
      </text>
    </comment>
    <comment ref="F36" authorId="0" shapeId="0">
      <text>
        <r>
          <rPr>
            <b/>
            <sz val="9"/>
            <color indexed="81"/>
            <rFont val="Tahoma"/>
            <family val="2"/>
          </rPr>
          <t>حداکثر جمع مدت تجربه قابل احتساب 35 سال می باشد
لطفا از درج مدت بیش از 35 سال خودداری نمایید</t>
        </r>
      </text>
    </comment>
  </commentList>
</comments>
</file>

<file path=xl/sharedStrings.xml><?xml version="1.0" encoding="utf-8"?>
<sst xmlns="http://schemas.openxmlformats.org/spreadsheetml/2006/main" count="372" uniqueCount="123">
  <si>
    <t>تحصيلات</t>
  </si>
  <si>
    <t>زير ديپلم</t>
  </si>
  <si>
    <t>ديپلم</t>
  </si>
  <si>
    <t>فوق ديپلم</t>
  </si>
  <si>
    <t>ليسانس</t>
  </si>
  <si>
    <t>فوق ليسانس</t>
  </si>
  <si>
    <t>دكتري</t>
  </si>
  <si>
    <t>امتياز حق شاغل</t>
  </si>
  <si>
    <t>دوره هاي آموزشي</t>
  </si>
  <si>
    <t>امتياز مهارت و توانايي</t>
  </si>
  <si>
    <t>سنوات خدمت</t>
  </si>
  <si>
    <t>روز</t>
  </si>
  <si>
    <t>ماه</t>
  </si>
  <si>
    <t>سال</t>
  </si>
  <si>
    <t>سنوات به روز</t>
  </si>
  <si>
    <t>امتياز تجربه</t>
  </si>
  <si>
    <t>تجربه به روز</t>
  </si>
  <si>
    <t>سربازي</t>
  </si>
  <si>
    <t>امتياز سرپرستي</t>
  </si>
  <si>
    <t>سرپرستي</t>
  </si>
  <si>
    <t>مديريتي</t>
  </si>
  <si>
    <t>امتياز به روز</t>
  </si>
  <si>
    <t>حق شغل</t>
  </si>
  <si>
    <t>امتياز ايثارگري</t>
  </si>
  <si>
    <t>جانبازي</t>
  </si>
  <si>
    <t>بالاتر از 60</t>
  </si>
  <si>
    <t>جبه</t>
  </si>
  <si>
    <t>امتياز</t>
  </si>
  <si>
    <t>بالاترين امتياز</t>
  </si>
  <si>
    <t>3تا6</t>
  </si>
  <si>
    <t>6تا12</t>
  </si>
  <si>
    <t>12تا18</t>
  </si>
  <si>
    <t>18تا24</t>
  </si>
  <si>
    <t>24تا30</t>
  </si>
  <si>
    <t>30تا36</t>
  </si>
  <si>
    <t>36تا42</t>
  </si>
  <si>
    <t>42تا48</t>
  </si>
  <si>
    <t>48تا54</t>
  </si>
  <si>
    <t>54تا60</t>
  </si>
  <si>
    <t>60تا70</t>
  </si>
  <si>
    <t>70 به بالا</t>
  </si>
  <si>
    <t>مجموع امتياز سرپرستي و مديريت</t>
  </si>
  <si>
    <t>حق شاغل+امتيازم وس</t>
  </si>
  <si>
    <t>درصد جانبازي</t>
  </si>
  <si>
    <t xml:space="preserve">25درصدامتياز </t>
  </si>
  <si>
    <t>مدت خدمت جبهه</t>
  </si>
  <si>
    <t>كد را وارد كنيد</t>
  </si>
  <si>
    <t>جمع سنوات</t>
  </si>
  <si>
    <t>جمع تجربه</t>
  </si>
  <si>
    <t>میزان ساعات دوره هاي آموزشي</t>
  </si>
  <si>
    <t>مدت سوابق خدمت دولتی قابل قبول به تفکیک مدرک تحصیلی</t>
  </si>
  <si>
    <t>مدت تجربه مربوط و مشابه قابل قبول در دستگاه به تفکیک مدرک تحصیلی</t>
  </si>
  <si>
    <t xml:space="preserve">میزان ضریب افزایش حقوق در دستگاه </t>
  </si>
  <si>
    <t>عنوان</t>
  </si>
  <si>
    <t xml:space="preserve">فوق العاده مدیریت </t>
  </si>
  <si>
    <t>تفاوت تطبیق</t>
  </si>
  <si>
    <t>فوق العاده شغل</t>
  </si>
  <si>
    <t>فوق العاده ویژه</t>
  </si>
  <si>
    <t>فوق العاده ایثارگری</t>
  </si>
  <si>
    <t>فوق العاده ایثارگری موضوع ماده 51 قانون جامع</t>
  </si>
  <si>
    <t>فوق العاده سختی کار</t>
  </si>
  <si>
    <t>کمک هزینه عائله مندی</t>
  </si>
  <si>
    <t>کمک هزینه اولاد</t>
  </si>
  <si>
    <t>فوق العاده بدی آب و هوا</t>
  </si>
  <si>
    <t>فوق العاده مناطق کمتر توسعه یافته</t>
  </si>
  <si>
    <t>فوق العاده نشان های دولتی</t>
  </si>
  <si>
    <t>فوق العاده خدمت در مناطق جنگ زده</t>
  </si>
  <si>
    <t xml:space="preserve">حق شاغل </t>
  </si>
  <si>
    <t xml:space="preserve">آخرین مدرک تحصیلی اعمال شده </t>
  </si>
  <si>
    <t>حداقل دریافتی</t>
  </si>
  <si>
    <t>امتیاز سنوات خدمت</t>
  </si>
  <si>
    <t>https://shenasname.ir</t>
  </si>
  <si>
    <t>75درصد حق شغل و مدیریت</t>
  </si>
  <si>
    <t>امتياز منظور شده مدیریت</t>
  </si>
  <si>
    <t>تفاوت بند (ی) تبصره 12 قانون بودجه سال 98</t>
  </si>
  <si>
    <t>تفاوت جزء (1) بند الف تبصره 12 قانون بودجه سال 97</t>
  </si>
  <si>
    <t>مبلغ سال 99</t>
  </si>
  <si>
    <t>حقوق ثابت</t>
  </si>
  <si>
    <t>ضریب سال 99</t>
  </si>
  <si>
    <t>امتیاز - سال 99</t>
  </si>
  <si>
    <t>مبلغ سال 1400</t>
  </si>
  <si>
    <t>مدت خدمت در پست های سرپرستی و مدیریتی تا تاریخ 1400/1/1</t>
  </si>
  <si>
    <t>جمع تجربه تا تاریخ 1400/1/1</t>
  </si>
  <si>
    <t>جمع سنوات تا تاریخ 1400/1/1</t>
  </si>
  <si>
    <t>ارتباط با اینجانب ازطریق ایمیل</t>
  </si>
  <si>
    <t xml:space="preserve">تهیه و تنظیم : ناصر مه آبادی کارشناس مسئول منابع انسانی سازمان ثبت احوال کشور </t>
  </si>
  <si>
    <t>telegram.me/NaserMahabadi</t>
  </si>
  <si>
    <t>اطلاعات آخرین حکم ( قرارداد ) سال 1399</t>
  </si>
  <si>
    <t>امتیاز سال 1400</t>
  </si>
  <si>
    <t>حکم ( قرارداد ) سال 1400</t>
  </si>
  <si>
    <t>قرارداد انجام کارمعین</t>
  </si>
  <si>
    <t xml:space="preserve">رسمی یا پیمانی </t>
  </si>
  <si>
    <r>
      <t xml:space="preserve">توجه : لطفا با توجه به آخرین حکم کارگزینی سال 99  ، فقط اطلاعات در خانه های </t>
    </r>
    <r>
      <rPr>
        <sz val="14"/>
        <color rgb="FFFFFF00"/>
        <rFont val="B Koodak"/>
        <charset val="178"/>
      </rPr>
      <t>زرد</t>
    </r>
    <r>
      <rPr>
        <sz val="14"/>
        <color theme="0"/>
        <rFont val="B Koodak"/>
        <charset val="178"/>
      </rPr>
      <t xml:space="preserve"> رنگ وارد شود.</t>
    </r>
  </si>
  <si>
    <t>سایر - جزء ب بند 11 قانون بودجه سال 88</t>
  </si>
  <si>
    <t>ضریب 1400</t>
  </si>
  <si>
    <t>حداقل 1400</t>
  </si>
  <si>
    <t>امتیاز حق شاغل نهایی</t>
  </si>
  <si>
    <t>اطلاعات آخرین  قرارداد سال 1399</t>
  </si>
  <si>
    <t xml:space="preserve"> قرارداد سال 1400</t>
  </si>
  <si>
    <r>
      <t>توجه : لطفا با توجه به</t>
    </r>
    <r>
      <rPr>
        <u/>
        <sz val="14"/>
        <color theme="0"/>
        <rFont val="B Koodak"/>
        <charset val="178"/>
      </rPr>
      <t xml:space="preserve"> آخرین حکم کارگزینی سال 99</t>
    </r>
    <r>
      <rPr>
        <sz val="14"/>
        <color theme="0"/>
        <rFont val="B Koodak"/>
        <charset val="178"/>
      </rPr>
      <t xml:space="preserve">  ، فقط اطلاعات در خانه های </t>
    </r>
    <r>
      <rPr>
        <sz val="14"/>
        <color rgb="FFFFFF00"/>
        <rFont val="B Koodak"/>
        <charset val="178"/>
      </rPr>
      <t>زرد</t>
    </r>
    <r>
      <rPr>
        <sz val="14"/>
        <color theme="0"/>
        <rFont val="B Koodak"/>
        <charset val="178"/>
      </rPr>
      <t xml:space="preserve"> رنگ وارد شود.
محاسبه انجام شده تلفیق همسان سازی و افزایش ضریب سال 1400 خواهد بود.</t>
    </r>
  </si>
  <si>
    <t xml:space="preserve">سایر </t>
  </si>
  <si>
    <t>جمع نهایی مبالغ مندرج در  قرارداد</t>
  </si>
  <si>
    <t>جمع نهایی مبالغ مندرج در  حکم (قرارداد)</t>
  </si>
  <si>
    <t xml:space="preserve">درصد افزایش </t>
  </si>
  <si>
    <t xml:space="preserve">میزان افزایش </t>
  </si>
  <si>
    <t>فوق العاده مدیریت</t>
  </si>
  <si>
    <t>حق شاغل با ضریب 1.5</t>
  </si>
  <si>
    <t>حق شاغل درج شده کاربر</t>
  </si>
  <si>
    <r>
      <t xml:space="preserve">در صورتیکه تمایل دارید امتیاز حق شاغل شما بصورت دقیق محاسبه گردد لازم است نسبت به تکمیل خانه های </t>
    </r>
    <r>
      <rPr>
        <u/>
        <sz val="10"/>
        <rFont val="B Koodak"/>
        <charset val="178"/>
      </rPr>
      <t>زرد رنگ</t>
    </r>
    <r>
      <rPr>
        <sz val="10"/>
        <rFont val="B Koodak"/>
        <charset val="178"/>
      </rPr>
      <t xml:space="preserve"> ذیل و درج اطلاعات شغلی  (مدرک تحصیلی ، دوره های آموزشی ، مدت سوابق خدمت دولتی به تفکیک مدرک تحصیلی ، مدت تجربه مربوط و مشابه به تفکیک مدرک تحصیلی ، مدت خدمت در پست های سرپرستی و مدیریتی ) اقدام نمایید. در صورتیکه به هر دلیلی تمایل به تکمیل خانه های زرد رنگ و جداول یاد شده ندارید ، سیستم مبلغ حق شاغل شما در سال 99 را مبنای محاسبه در سال 1400 قرارداده که عدد مذکور کمتر از عدد واقعی ولی نزدیک به آن خواهد بود.</t>
    </r>
  </si>
  <si>
    <t>در صورتیکه تمایل دارید امتیاز حق شاغل شما بصورت دقیق محاسبه گردد لازم است نسبت به تکمیل خانه های زرد رنگ ذیل و درج اطلاعات شغلی  (مدرک تحصیلی ، دوره های آموزشی ، مدت سوابق خدمت دولتی به تفکیک مدرک تحصیلی ، مدت تجربه مربوط و مشابه به تفکیک مدرک تحصیلی ، مدت خدمت در پست های سرپرستی و مدیریتی ) اقدام نمایید. در صورتیکه به هر دلیلی تمایل به تکمیل خانه های زرد رنگ و جداول یاد شده ندارید ، سیستم مبلغ حق شاغل شما در سال 99 را مبنای محاسبه در سال 1400 قرارداده که عدد مذکور کمتر از عدد واقعی ولی نزدیک به آن خواهد بود.</t>
  </si>
  <si>
    <t>کاهش ناشی از اجرای جزء (1) بند الف تبصره 12</t>
  </si>
  <si>
    <t>تفاوت تطبیق موضوع جزء 3 بند الف تبصره 12</t>
  </si>
  <si>
    <r>
      <t xml:space="preserve">20درصد </t>
    </r>
    <r>
      <rPr>
        <sz val="9"/>
        <color theme="0"/>
        <rFont val="Arial"/>
        <family val="2"/>
      </rPr>
      <t>75درصد</t>
    </r>
  </si>
  <si>
    <r>
      <t xml:space="preserve">حق شاغل </t>
    </r>
    <r>
      <rPr>
        <sz val="9"/>
        <color theme="0"/>
        <rFont val="Arial"/>
        <family val="2"/>
      </rPr>
      <t>بعدازمقايسه75</t>
    </r>
  </si>
  <si>
    <t xml:space="preserve">بازنشستگان و موظفین </t>
  </si>
  <si>
    <r>
      <t xml:space="preserve">توجه : لطفا با توجه به آخرین حکم کارگزینی سال 99  ( پس از اجرای هم سان سازی حقوق )  فقط اطلاعات در خانه های </t>
    </r>
    <r>
      <rPr>
        <sz val="14"/>
        <color rgb="FFFFFF00"/>
        <rFont val="B Koodak"/>
        <charset val="178"/>
      </rPr>
      <t>زرد</t>
    </r>
    <r>
      <rPr>
        <sz val="14"/>
        <color theme="0"/>
        <rFont val="B Koodak"/>
        <charset val="178"/>
      </rPr>
      <t xml:space="preserve"> رنگ وارد شود.</t>
    </r>
  </si>
  <si>
    <t>مبلغ مندرج در آخرین حکم بازنشستکی یا موظفین در سال 1399 پس از اجرای همسان سازی</t>
  </si>
  <si>
    <t>مبلغ مندرج در حکم در سال 1400</t>
  </si>
  <si>
    <t>لطفا جهت محاسبه حقوق و با توجه به نوع حکم یا قرارداد بر روی یکی از گزینه های زیر کلیک نمایید</t>
  </si>
  <si>
    <t>فوق العاده نوبت کاری</t>
  </si>
  <si>
    <t>نسخه5-1400</t>
  </si>
  <si>
    <t>تفاوت تطبیق موضوع جزء 3 بند الف تبصره 12 بودجه 1400</t>
  </si>
  <si>
    <t>حق شاغل نهایی مندرج  در حکم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</si>
</sst>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_-;_-* #,##0.00\-;_-* &quot;-&quot;??_-;_-@_-"/>
    <numFmt numFmtId="165" formatCode="_(* #,##0_);_(* \(#,##0\);_(* &quot;-&quot;??_);_(@_)"/>
    <numFmt numFmtId="166" formatCode="_-* #,##0_-;_-* #,##0\-;_-* &quot;-&quot;??_-;_-@_-"/>
    <numFmt numFmtId="167" formatCode="_-* #,##0.000000_-;_-* #,##0.000000\-;_-* &quot;-&quot;??_-;_-@_-"/>
    <numFmt numFmtId="168" formatCode="0.000000"/>
  </numFmts>
  <fonts count="40" x14ac:knownFonts="1">
    <font>
      <sz val="10"/>
      <name val="Arial"/>
      <charset val="178"/>
    </font>
    <font>
      <sz val="10"/>
      <name val="Arial"/>
      <family val="2"/>
    </font>
    <font>
      <sz val="8"/>
      <name val="Arial"/>
      <family val="2"/>
    </font>
    <font>
      <sz val="10"/>
      <name val="B Koodak"/>
      <charset val="178"/>
    </font>
    <font>
      <b/>
      <sz val="9"/>
      <color indexed="81"/>
      <name val="Tahoma"/>
      <family val="2"/>
    </font>
    <font>
      <sz val="12"/>
      <name val="B Koodak"/>
      <charset val="178"/>
    </font>
    <font>
      <u/>
      <sz val="10"/>
      <color theme="10"/>
      <name val="Arial"/>
      <family val="2"/>
    </font>
    <font>
      <sz val="12"/>
      <color theme="1"/>
      <name val="B Koodak"/>
      <charset val="178"/>
    </font>
    <font>
      <sz val="12"/>
      <color theme="0"/>
      <name val="B Koodak"/>
      <charset val="178"/>
    </font>
    <font>
      <sz val="12"/>
      <color rgb="FFFF0000"/>
      <name val="B Koodak"/>
      <charset val="178"/>
    </font>
    <font>
      <u/>
      <sz val="10"/>
      <name val="B Koodak"/>
      <charset val="178"/>
    </font>
    <font>
      <sz val="11"/>
      <color theme="1"/>
      <name val="B Koodak"/>
      <charset val="178"/>
    </font>
    <font>
      <sz val="11"/>
      <name val="B Koodak"/>
      <charset val="178"/>
    </font>
    <font>
      <sz val="10"/>
      <color theme="1"/>
      <name val="B Koodak"/>
      <charset val="178"/>
    </font>
    <font>
      <b/>
      <sz val="12"/>
      <color theme="4" tint="0.79998168889431442"/>
      <name val="B Koodak"/>
      <charset val="178"/>
    </font>
    <font>
      <sz val="12"/>
      <color theme="4" tint="0.79998168889431442"/>
      <name val="B Koodak"/>
      <charset val="178"/>
    </font>
    <font>
      <sz val="10"/>
      <color theme="0"/>
      <name val="B Koodak"/>
      <charset val="178"/>
    </font>
    <font>
      <sz val="14"/>
      <color theme="0"/>
      <name val="B Koodak"/>
      <charset val="178"/>
    </font>
    <font>
      <sz val="16"/>
      <color theme="0"/>
      <name val="B Koodak"/>
      <charset val="178"/>
    </font>
    <font>
      <sz val="12"/>
      <color theme="7" tint="-0.249977111117893"/>
      <name val="B Koodak"/>
      <charset val="178"/>
    </font>
    <font>
      <sz val="14"/>
      <color rgb="FFFFFF00"/>
      <name val="B Koodak"/>
      <charset val="178"/>
    </font>
    <font>
      <u/>
      <sz val="14"/>
      <color theme="0"/>
      <name val="B Koodak"/>
      <charset val="178"/>
    </font>
    <font>
      <sz val="16"/>
      <color rgb="FFFFFF00"/>
      <name val="B Koodak"/>
      <charset val="178"/>
    </font>
    <font>
      <sz val="10"/>
      <color rgb="FFFFFF00"/>
      <name val="B Koodak"/>
      <charset val="178"/>
    </font>
    <font>
      <sz val="12"/>
      <color rgb="FFFFFF00"/>
      <name val="B Koodak"/>
      <charset val="178"/>
    </font>
    <font>
      <sz val="8"/>
      <color theme="7" tint="-0.249977111117893"/>
      <name val="B Koodak"/>
      <charset val="178"/>
    </font>
    <font>
      <b/>
      <sz val="10"/>
      <color theme="0"/>
      <name val="B Koodak"/>
      <charset val="178"/>
    </font>
    <font>
      <sz val="12"/>
      <name val="Arial"/>
      <family val="2"/>
    </font>
    <font>
      <b/>
      <sz val="12"/>
      <color rgb="FFFF0000"/>
      <name val="B Koodak"/>
      <charset val="178"/>
    </font>
    <font>
      <sz val="12"/>
      <color rgb="FFFF0000"/>
      <name val="Arial"/>
      <family val="2"/>
    </font>
    <font>
      <sz val="10"/>
      <color theme="0" tint="-0.34998626667073579"/>
      <name val="Arial"/>
      <family val="2"/>
    </font>
    <font>
      <sz val="12"/>
      <color theme="0" tint="-0.34998626667073579"/>
      <name val="B Koodak"/>
      <charset val="178"/>
    </font>
    <font>
      <sz val="10"/>
      <color theme="0"/>
      <name val="Arial"/>
      <family val="2"/>
    </font>
    <font>
      <sz val="9"/>
      <color theme="0"/>
      <name val="Arial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sz val="12"/>
      <name val="B Yekan"/>
      <charset val="178"/>
    </font>
    <font>
      <sz val="14"/>
      <color theme="1"/>
      <name val="B Koodak"/>
      <charset val="178"/>
    </font>
    <font>
      <sz val="12"/>
      <color theme="0"/>
      <name val="B Yekan"/>
      <charset val="17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theme="8" tint="-0.24994659260841701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CC33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5"/>
      </left>
      <right style="medium">
        <color theme="5"/>
      </right>
      <top style="medium">
        <color theme="5"/>
      </top>
      <bottom style="medium">
        <color theme="5"/>
      </bottom>
      <diagonal/>
    </border>
    <border>
      <left style="medium">
        <color theme="5"/>
      </left>
      <right/>
      <top style="medium">
        <color theme="5"/>
      </top>
      <bottom style="medium">
        <color theme="5"/>
      </bottom>
      <diagonal/>
    </border>
    <border>
      <left/>
      <right style="medium">
        <color theme="5"/>
      </right>
      <top style="medium">
        <color theme="5"/>
      </top>
      <bottom style="medium">
        <color theme="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99">
    <xf numFmtId="0" fontId="0" fillId="0" borderId="0" xfId="0"/>
    <xf numFmtId="0" fontId="7" fillId="3" borderId="0" xfId="0" applyFont="1" applyFill="1" applyProtection="1">
      <protection hidden="1"/>
    </xf>
    <xf numFmtId="0" fontId="0" fillId="0" borderId="0" xfId="0" applyProtection="1">
      <protection hidden="1"/>
    </xf>
    <xf numFmtId="0" fontId="3" fillId="3" borderId="0" xfId="0" applyFont="1" applyFill="1" applyBorder="1" applyProtection="1">
      <protection hidden="1"/>
    </xf>
    <xf numFmtId="1" fontId="3" fillId="3" borderId="0" xfId="0" applyNumberFormat="1" applyFont="1" applyFill="1" applyBorder="1" applyProtection="1">
      <protection hidden="1"/>
    </xf>
    <xf numFmtId="0" fontId="7" fillId="3" borderId="0" xfId="0" applyFont="1" applyFill="1" applyBorder="1" applyAlignment="1" applyProtection="1">
      <alignment horizontal="center"/>
      <protection hidden="1"/>
    </xf>
    <xf numFmtId="166" fontId="7" fillId="3" borderId="0" xfId="1" applyNumberFormat="1" applyFont="1" applyFill="1" applyBorder="1" applyAlignment="1" applyProtection="1">
      <alignment vertical="center"/>
      <protection hidden="1"/>
    </xf>
    <xf numFmtId="0" fontId="0" fillId="3" borderId="0" xfId="0" applyFill="1" applyProtection="1">
      <protection hidden="1"/>
    </xf>
    <xf numFmtId="165" fontId="8" fillId="3" borderId="0" xfId="1" applyNumberFormat="1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Protection="1">
      <protection hidden="1"/>
    </xf>
    <xf numFmtId="1" fontId="3" fillId="3" borderId="0" xfId="0" applyNumberFormat="1" applyFont="1" applyFill="1" applyBorder="1" applyAlignment="1" applyProtection="1">
      <alignment horizontal="center"/>
      <protection hidden="1"/>
    </xf>
    <xf numFmtId="0" fontId="3" fillId="2" borderId="0" xfId="0" applyFont="1" applyFill="1" applyAlignment="1" applyProtection="1">
      <alignment horizontal="center"/>
      <protection hidden="1"/>
    </xf>
    <xf numFmtId="1" fontId="15" fillId="7" borderId="1" xfId="0" applyNumberFormat="1" applyFont="1" applyFill="1" applyBorder="1" applyAlignment="1" applyProtection="1">
      <alignment horizontal="center"/>
      <protection hidden="1"/>
    </xf>
    <xf numFmtId="0" fontId="16" fillId="3" borderId="0" xfId="0" applyFont="1" applyFill="1" applyBorder="1" applyProtection="1">
      <protection hidden="1"/>
    </xf>
    <xf numFmtId="165" fontId="3" fillId="3" borderId="1" xfId="0" applyNumberFormat="1" applyFont="1" applyFill="1" applyBorder="1" applyAlignment="1" applyProtection="1">
      <alignment horizontal="center" vertical="center"/>
      <protection hidden="1"/>
    </xf>
    <xf numFmtId="9" fontId="3" fillId="3" borderId="1" xfId="3" applyNumberFormat="1" applyFont="1" applyFill="1" applyBorder="1" applyAlignment="1" applyProtection="1">
      <alignment horizontal="right" vertical="center"/>
      <protection hidden="1"/>
    </xf>
    <xf numFmtId="166" fontId="7" fillId="3" borderId="1" xfId="1" applyNumberFormat="1" applyFont="1" applyFill="1" applyBorder="1" applyAlignment="1" applyProtection="1">
      <alignment horizontal="center" vertical="center"/>
      <protection hidden="1"/>
    </xf>
    <xf numFmtId="0" fontId="3" fillId="3" borderId="1" xfId="0" applyFont="1" applyFill="1" applyBorder="1" applyProtection="1">
      <protection hidden="1"/>
    </xf>
    <xf numFmtId="0" fontId="7" fillId="3" borderId="0" xfId="0" applyFont="1" applyFill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7" fillId="6" borderId="0" xfId="0" applyFont="1" applyFill="1" applyAlignment="1" applyProtection="1">
      <alignment horizontal="center" vertical="center"/>
      <protection hidden="1"/>
    </xf>
    <xf numFmtId="0" fontId="7" fillId="8" borderId="0" xfId="0" applyFont="1" applyFill="1" applyAlignment="1" applyProtection="1">
      <alignment horizontal="center" vertical="center"/>
      <protection hidden="1"/>
    </xf>
    <xf numFmtId="0" fontId="19" fillId="3" borderId="0" xfId="0" applyFont="1" applyFill="1" applyAlignment="1" applyProtection="1">
      <alignment vertical="center"/>
      <protection hidden="1"/>
    </xf>
    <xf numFmtId="165" fontId="7" fillId="3" borderId="1" xfId="0" applyNumberFormat="1" applyFont="1" applyFill="1" applyBorder="1" applyAlignment="1" applyProtection="1">
      <alignment horizontal="center"/>
      <protection hidden="1"/>
    </xf>
    <xf numFmtId="9" fontId="7" fillId="3" borderId="1" xfId="0" applyNumberFormat="1" applyFont="1" applyFill="1" applyBorder="1" applyAlignment="1" applyProtection="1">
      <alignment horizontal="center"/>
      <protection hidden="1"/>
    </xf>
    <xf numFmtId="0" fontId="25" fillId="3" borderId="0" xfId="0" applyFont="1" applyFill="1" applyAlignment="1" applyProtection="1">
      <alignment vertical="center"/>
      <protection hidden="1"/>
    </xf>
    <xf numFmtId="165" fontId="3" fillId="3" borderId="1" xfId="0" applyNumberFormat="1" applyFont="1" applyFill="1" applyBorder="1" applyAlignment="1" applyProtection="1">
      <alignment vertical="center"/>
      <protection hidden="1"/>
    </xf>
    <xf numFmtId="9" fontId="3" fillId="3" borderId="1" xfId="3" applyNumberFormat="1" applyFont="1" applyFill="1" applyBorder="1" applyAlignment="1" applyProtection="1">
      <alignment vertical="center"/>
      <protection hidden="1"/>
    </xf>
    <xf numFmtId="165" fontId="24" fillId="7" borderId="1" xfId="1" applyNumberFormat="1" applyFont="1" applyFill="1" applyBorder="1" applyAlignment="1" applyProtection="1">
      <alignment horizontal="center" vertical="center"/>
      <protection hidden="1"/>
    </xf>
    <xf numFmtId="0" fontId="23" fillId="3" borderId="0" xfId="0" applyFont="1" applyFill="1" applyBorder="1" applyProtection="1">
      <protection hidden="1"/>
    </xf>
    <xf numFmtId="0" fontId="26" fillId="3" borderId="0" xfId="0" applyFont="1" applyFill="1" applyBorder="1" applyProtection="1">
      <protection hidden="1"/>
    </xf>
    <xf numFmtId="0" fontId="16" fillId="2" borderId="0" xfId="0" applyFont="1" applyFill="1" applyProtection="1">
      <protection hidden="1"/>
    </xf>
    <xf numFmtId="0" fontId="14" fillId="7" borderId="1" xfId="0" applyFont="1" applyFill="1" applyBorder="1" applyAlignment="1" applyProtection="1">
      <alignment horizontal="center"/>
      <protection hidden="1"/>
    </xf>
    <xf numFmtId="0" fontId="5" fillId="3" borderId="1" xfId="0" applyFont="1" applyFill="1" applyBorder="1" applyAlignment="1" applyProtection="1">
      <alignment horizontal="center" vertical="center"/>
      <protection hidden="1"/>
    </xf>
    <xf numFmtId="1" fontId="14" fillId="7" borderId="1" xfId="0" applyNumberFormat="1" applyFont="1" applyFill="1" applyBorder="1" applyAlignment="1" applyProtection="1">
      <alignment horizontal="center"/>
      <protection hidden="1"/>
    </xf>
    <xf numFmtId="0" fontId="5" fillId="3" borderId="0" xfId="0" applyFont="1" applyFill="1" applyBorder="1" applyProtection="1">
      <protection hidden="1"/>
    </xf>
    <xf numFmtId="1" fontId="5" fillId="3" borderId="0" xfId="0" applyNumberFormat="1" applyFont="1" applyFill="1" applyBorder="1" applyAlignment="1" applyProtection="1">
      <alignment horizontal="center" vertical="center"/>
      <protection hidden="1"/>
    </xf>
    <xf numFmtId="1" fontId="14" fillId="7" borderId="1" xfId="0" applyNumberFormat="1" applyFont="1" applyFill="1" applyBorder="1" applyAlignment="1" applyProtection="1">
      <alignment horizontal="center" vertical="center"/>
      <protection hidden="1"/>
    </xf>
    <xf numFmtId="1" fontId="15" fillId="7" borderId="1" xfId="0" applyNumberFormat="1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0" fontId="27" fillId="3" borderId="0" xfId="0" applyFont="1" applyFill="1" applyAlignment="1" applyProtection="1">
      <alignment horizontal="center" vertical="center"/>
      <protection hidden="1"/>
    </xf>
    <xf numFmtId="0" fontId="28" fillId="3" borderId="0" xfId="0" applyFont="1" applyFill="1" applyBorder="1" applyAlignment="1" applyProtection="1">
      <alignment horizontal="center" vertical="center"/>
      <protection hidden="1"/>
    </xf>
    <xf numFmtId="0" fontId="9" fillId="2" borderId="0" xfId="0" applyFont="1" applyFill="1" applyAlignment="1" applyProtection="1">
      <alignment horizontal="center" vertical="center"/>
      <protection hidden="1"/>
    </xf>
    <xf numFmtId="0" fontId="29" fillId="3" borderId="0" xfId="0" applyFont="1" applyFill="1" applyAlignment="1" applyProtection="1">
      <alignment horizontal="center" vertical="center"/>
      <protection hidden="1"/>
    </xf>
    <xf numFmtId="0" fontId="5" fillId="3" borderId="0" xfId="0" applyFont="1" applyFill="1" applyBorder="1" applyAlignment="1" applyProtection="1">
      <alignment horizontal="center" vertical="center"/>
      <protection hidden="1"/>
    </xf>
    <xf numFmtId="165" fontId="14" fillId="7" borderId="1" xfId="1" applyNumberFormat="1" applyFont="1" applyFill="1" applyBorder="1" applyAlignment="1" applyProtection="1">
      <alignment horizontal="center" vertical="center"/>
      <protection hidden="1"/>
    </xf>
    <xf numFmtId="0" fontId="7" fillId="3" borderId="1" xfId="0" applyFont="1" applyFill="1" applyBorder="1" applyAlignment="1" applyProtection="1">
      <alignment horizontal="center"/>
      <protection hidden="1"/>
    </xf>
    <xf numFmtId="165" fontId="7" fillId="4" borderId="1" xfId="1" applyNumberFormat="1" applyFont="1" applyFill="1" applyBorder="1" applyAlignment="1" applyProtection="1">
      <alignment horizontal="center" vertical="center"/>
      <protection locked="0" hidden="1"/>
    </xf>
    <xf numFmtId="0" fontId="14" fillId="7" borderId="1" xfId="0" applyFont="1" applyFill="1" applyBorder="1" applyAlignment="1" applyProtection="1">
      <alignment horizontal="center" vertical="center"/>
      <protection hidden="1"/>
    </xf>
    <xf numFmtId="0" fontId="15" fillId="7" borderId="1" xfId="0" applyFont="1" applyFill="1" applyBorder="1" applyAlignment="1" applyProtection="1">
      <alignment horizontal="center" vertical="center"/>
      <protection hidden="1"/>
    </xf>
    <xf numFmtId="0" fontId="15" fillId="7" borderId="5" xfId="0" applyFont="1" applyFill="1" applyBorder="1" applyAlignment="1" applyProtection="1">
      <alignment horizontal="center" vertical="center"/>
      <protection hidden="1"/>
    </xf>
    <xf numFmtId="165" fontId="7" fillId="3" borderId="1" xfId="1" applyNumberFormat="1" applyFont="1" applyFill="1" applyBorder="1" applyAlignment="1" applyProtection="1">
      <alignment horizontal="center" vertical="center"/>
      <protection hidden="1"/>
    </xf>
    <xf numFmtId="165" fontId="3" fillId="3" borderId="0" xfId="0" applyNumberFormat="1" applyFont="1" applyFill="1" applyBorder="1" applyProtection="1">
      <protection hidden="1"/>
    </xf>
    <xf numFmtId="165" fontId="7" fillId="3" borderId="5" xfId="1" applyNumberFormat="1" applyFont="1" applyFill="1" applyBorder="1" applyAlignment="1" applyProtection="1">
      <alignment vertical="center"/>
      <protection hidden="1"/>
    </xf>
    <xf numFmtId="165" fontId="7" fillId="3" borderId="7" xfId="1" applyNumberFormat="1" applyFont="1" applyFill="1" applyBorder="1" applyAlignment="1" applyProtection="1">
      <alignment vertical="center"/>
      <protection hidden="1"/>
    </xf>
    <xf numFmtId="165" fontId="7" fillId="3" borderId="7" xfId="0" applyNumberFormat="1" applyFont="1" applyFill="1" applyBorder="1" applyAlignment="1" applyProtection="1">
      <alignment horizontal="center"/>
      <protection hidden="1"/>
    </xf>
    <xf numFmtId="0" fontId="30" fillId="0" borderId="0" xfId="0" applyFont="1" applyProtection="1">
      <protection hidden="1"/>
    </xf>
    <xf numFmtId="0" fontId="31" fillId="3" borderId="0" xfId="0" applyFont="1" applyFill="1" applyProtection="1">
      <protection hidden="1"/>
    </xf>
    <xf numFmtId="166" fontId="30" fillId="0" borderId="0" xfId="1" applyNumberFormat="1" applyFont="1" applyProtection="1">
      <protection hidden="1"/>
    </xf>
    <xf numFmtId="0" fontId="32" fillId="3" borderId="0" xfId="0" applyFont="1" applyFill="1" applyBorder="1" applyProtection="1">
      <protection hidden="1"/>
    </xf>
    <xf numFmtId="1" fontId="32" fillId="3" borderId="0" xfId="0" applyNumberFormat="1" applyFont="1" applyFill="1" applyBorder="1" applyProtection="1">
      <protection hidden="1"/>
    </xf>
    <xf numFmtId="0" fontId="33" fillId="3" borderId="0" xfId="0" applyFont="1" applyFill="1" applyBorder="1" applyProtection="1">
      <protection hidden="1"/>
    </xf>
    <xf numFmtId="0" fontId="34" fillId="3" borderId="0" xfId="0" applyFont="1" applyFill="1" applyBorder="1" applyProtection="1">
      <protection hidden="1"/>
    </xf>
    <xf numFmtId="0" fontId="32" fillId="3" borderId="0" xfId="0" applyFont="1" applyFill="1" applyBorder="1" applyAlignment="1" applyProtection="1">
      <alignment horizontal="center"/>
      <protection hidden="1"/>
    </xf>
    <xf numFmtId="49" fontId="32" fillId="3" borderId="0" xfId="0" applyNumberFormat="1" applyFont="1" applyFill="1" applyBorder="1" applyAlignment="1" applyProtection="1">
      <alignment horizontal="right"/>
      <protection hidden="1"/>
    </xf>
    <xf numFmtId="0" fontId="35" fillId="3" borderId="0" xfId="0" applyFont="1" applyFill="1" applyBorder="1" applyProtection="1">
      <protection hidden="1"/>
    </xf>
    <xf numFmtId="0" fontId="32" fillId="3" borderId="0" xfId="0" applyFont="1" applyFill="1" applyBorder="1" applyAlignment="1" applyProtection="1">
      <alignment horizontal="center" vertical="center"/>
      <protection hidden="1"/>
    </xf>
    <xf numFmtId="0" fontId="36" fillId="3" borderId="0" xfId="0" applyFont="1" applyFill="1" applyBorder="1" applyAlignment="1" applyProtection="1">
      <alignment horizontal="center"/>
      <protection hidden="1"/>
    </xf>
    <xf numFmtId="1" fontId="35" fillId="3" borderId="0" xfId="0" applyNumberFormat="1" applyFont="1" applyFill="1" applyBorder="1" applyProtection="1">
      <protection hidden="1"/>
    </xf>
    <xf numFmtId="0" fontId="8" fillId="3" borderId="0" xfId="0" applyFont="1" applyFill="1" applyBorder="1" applyProtection="1">
      <protection hidden="1"/>
    </xf>
    <xf numFmtId="1" fontId="35" fillId="4" borderId="0" xfId="0" applyNumberFormat="1" applyFont="1" applyFill="1" applyBorder="1" applyProtection="1">
      <protection hidden="1"/>
    </xf>
    <xf numFmtId="0" fontId="35" fillId="3" borderId="0" xfId="0" applyFont="1" applyFill="1" applyBorder="1" applyAlignment="1" applyProtection="1">
      <alignment horizontal="center"/>
      <protection hidden="1"/>
    </xf>
    <xf numFmtId="0" fontId="32" fillId="3" borderId="0" xfId="0" applyFont="1" applyFill="1" applyBorder="1" applyAlignment="1" applyProtection="1">
      <alignment horizontal="left"/>
      <protection hidden="1"/>
    </xf>
    <xf numFmtId="1" fontId="32" fillId="3" borderId="0" xfId="0" applyNumberFormat="1" applyFont="1" applyFill="1" applyBorder="1" applyAlignment="1" applyProtection="1">
      <alignment horizontal="center"/>
      <protection hidden="1"/>
    </xf>
    <xf numFmtId="0" fontId="32" fillId="3" borderId="0" xfId="0" applyFont="1" applyFill="1" applyBorder="1" applyAlignment="1" applyProtection="1">
      <protection hidden="1"/>
    </xf>
    <xf numFmtId="166" fontId="32" fillId="3" borderId="0" xfId="1" applyNumberFormat="1" applyFont="1" applyFill="1" applyBorder="1" applyProtection="1">
      <protection hidden="1"/>
    </xf>
    <xf numFmtId="165" fontId="32" fillId="3" borderId="0" xfId="1" applyNumberFormat="1" applyFont="1" applyFill="1" applyBorder="1" applyProtection="1">
      <protection hidden="1"/>
    </xf>
    <xf numFmtId="167" fontId="32" fillId="3" borderId="0" xfId="1" applyNumberFormat="1" applyFont="1" applyFill="1" applyBorder="1" applyProtection="1">
      <protection hidden="1"/>
    </xf>
    <xf numFmtId="168" fontId="32" fillId="3" borderId="0" xfId="0" applyNumberFormat="1" applyFont="1" applyFill="1" applyBorder="1" applyProtection="1">
      <protection hidden="1"/>
    </xf>
    <xf numFmtId="166" fontId="32" fillId="3" borderId="0" xfId="0" applyNumberFormat="1" applyFont="1" applyFill="1" applyBorder="1" applyProtection="1">
      <protection hidden="1"/>
    </xf>
    <xf numFmtId="43" fontId="32" fillId="3" borderId="0" xfId="0" applyNumberFormat="1" applyFont="1" applyFill="1" applyBorder="1" applyProtection="1">
      <protection hidden="1"/>
    </xf>
    <xf numFmtId="1" fontId="35" fillId="3" borderId="0" xfId="0" applyNumberFormat="1" applyFont="1" applyFill="1" applyBorder="1" applyAlignment="1" applyProtection="1">
      <alignment horizontal="center"/>
      <protection hidden="1"/>
    </xf>
    <xf numFmtId="1" fontId="35" fillId="4" borderId="0" xfId="0" applyNumberFormat="1" applyFont="1" applyFill="1" applyBorder="1" applyAlignment="1" applyProtection="1">
      <alignment horizontal="center"/>
      <protection hidden="1"/>
    </xf>
    <xf numFmtId="2" fontId="32" fillId="3" borderId="0" xfId="0" applyNumberFormat="1" applyFont="1" applyFill="1" applyBorder="1" applyProtection="1">
      <protection hidden="1"/>
    </xf>
    <xf numFmtId="0" fontId="32" fillId="3" borderId="0" xfId="0" applyFont="1" applyFill="1" applyBorder="1" applyAlignment="1" applyProtection="1">
      <alignment horizontal="right"/>
      <protection hidden="1"/>
    </xf>
    <xf numFmtId="0" fontId="32" fillId="3" borderId="0" xfId="0" applyNumberFormat="1" applyFont="1" applyFill="1" applyBorder="1" applyAlignment="1" applyProtection="1">
      <alignment horizontal="right"/>
      <protection hidden="1"/>
    </xf>
    <xf numFmtId="1" fontId="30" fillId="0" borderId="0" xfId="0" applyNumberFormat="1" applyFont="1" applyProtection="1">
      <protection hidden="1"/>
    </xf>
    <xf numFmtId="165" fontId="30" fillId="0" borderId="0" xfId="0" applyNumberFormat="1" applyFont="1" applyProtection="1">
      <protection hidden="1"/>
    </xf>
    <xf numFmtId="165" fontId="7" fillId="3" borderId="1" xfId="1" applyNumberFormat="1" applyFont="1" applyFill="1" applyBorder="1" applyAlignment="1" applyProtection="1">
      <alignment horizontal="left" vertical="center"/>
      <protection hidden="1"/>
    </xf>
    <xf numFmtId="0" fontId="22" fillId="9" borderId="8" xfId="2" applyFont="1" applyFill="1" applyBorder="1" applyAlignment="1" applyProtection="1">
      <alignment horizontal="center" vertical="center"/>
      <protection locked="0"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5" fillId="7" borderId="5" xfId="0" applyFont="1" applyFill="1" applyBorder="1" applyAlignment="1" applyProtection="1">
      <alignment horizontal="center" vertical="center"/>
      <protection hidden="1"/>
    </xf>
    <xf numFmtId="0" fontId="7" fillId="3" borderId="1" xfId="0" applyFont="1" applyFill="1" applyBorder="1" applyAlignment="1" applyProtection="1">
      <alignment horizontal="center"/>
      <protection hidden="1"/>
    </xf>
    <xf numFmtId="0" fontId="15" fillId="7" borderId="1" xfId="0" applyFont="1" applyFill="1" applyBorder="1" applyAlignment="1" applyProtection="1">
      <alignment horizontal="center" vertical="center"/>
      <protection hidden="1"/>
    </xf>
    <xf numFmtId="165" fontId="7" fillId="3" borderId="1" xfId="1" applyNumberFormat="1" applyFont="1" applyFill="1" applyBorder="1" applyAlignment="1" applyProtection="1">
      <alignment horizontal="center" vertical="center"/>
      <protection hidden="1"/>
    </xf>
    <xf numFmtId="165" fontId="7" fillId="4" borderId="1" xfId="1" applyNumberFormat="1" applyFont="1" applyFill="1" applyBorder="1" applyAlignment="1" applyProtection="1">
      <alignment horizontal="center" vertical="center"/>
      <protection locked="0" hidden="1"/>
    </xf>
    <xf numFmtId="165" fontId="14" fillId="7" borderId="1" xfId="1" applyNumberFormat="1" applyFont="1" applyFill="1" applyBorder="1" applyAlignment="1" applyProtection="1">
      <alignment horizontal="center" vertical="center"/>
      <protection hidden="1"/>
    </xf>
    <xf numFmtId="0" fontId="15" fillId="7" borderId="1" xfId="0" applyFont="1" applyFill="1" applyBorder="1" applyAlignment="1" applyProtection="1">
      <alignment horizontal="center"/>
      <protection hidden="1"/>
    </xf>
    <xf numFmtId="0" fontId="7" fillId="3" borderId="7" xfId="0" applyFont="1" applyFill="1" applyBorder="1" applyAlignment="1" applyProtection="1">
      <alignment horizontal="center"/>
      <protection hidden="1"/>
    </xf>
    <xf numFmtId="0" fontId="20" fillId="9" borderId="8" xfId="2" applyFont="1" applyFill="1" applyBorder="1" applyAlignment="1" applyProtection="1">
      <alignment horizontal="center" vertical="center"/>
      <protection locked="0" hidden="1"/>
    </xf>
    <xf numFmtId="0" fontId="0" fillId="3" borderId="0" xfId="0" applyFill="1" applyProtection="1">
      <protection locked="0" hidden="1"/>
    </xf>
    <xf numFmtId="0" fontId="0" fillId="0" borderId="0" xfId="0" applyProtection="1">
      <protection locked="0" hidden="1"/>
    </xf>
    <xf numFmtId="0" fontId="7" fillId="3" borderId="0" xfId="0" applyFont="1" applyFill="1" applyProtection="1">
      <protection locked="0" hidden="1"/>
    </xf>
    <xf numFmtId="0" fontId="5" fillId="2" borderId="0" xfId="0" applyFont="1" applyFill="1" applyAlignment="1" applyProtection="1">
      <alignment horizontal="center" vertical="center"/>
      <protection locked="0" hidden="1"/>
    </xf>
    <xf numFmtId="0" fontId="5" fillId="3" borderId="0" xfId="0" applyFont="1" applyFill="1" applyBorder="1" applyAlignment="1" applyProtection="1">
      <alignment horizontal="center" vertical="center"/>
      <protection locked="0" hidden="1"/>
    </xf>
    <xf numFmtId="0" fontId="3" fillId="3" borderId="0" xfId="0" applyFont="1" applyFill="1" applyBorder="1" applyProtection="1">
      <protection locked="0" hidden="1"/>
    </xf>
    <xf numFmtId="166" fontId="37" fillId="4" borderId="1" xfId="1" applyNumberFormat="1" applyFont="1" applyFill="1" applyBorder="1" applyAlignment="1" applyProtection="1">
      <alignment horizontal="center" vertical="center"/>
      <protection locked="0" hidden="1"/>
    </xf>
    <xf numFmtId="166" fontId="39" fillId="7" borderId="1" xfId="1" applyNumberFormat="1" applyFont="1" applyFill="1" applyBorder="1" applyAlignment="1" applyProtection="1">
      <alignment horizontal="center" vertical="center"/>
      <protection locked="0" hidden="1"/>
    </xf>
    <xf numFmtId="0" fontId="5" fillId="4" borderId="1" xfId="0" applyFont="1" applyFill="1" applyBorder="1" applyAlignment="1" applyProtection="1">
      <alignment horizontal="center" vertical="center"/>
      <protection locked="0" hidden="1"/>
    </xf>
    <xf numFmtId="1" fontId="5" fillId="4" borderId="1" xfId="0" applyNumberFormat="1" applyFont="1" applyFill="1" applyBorder="1" applyAlignment="1" applyProtection="1">
      <alignment horizontal="center" vertical="center"/>
      <protection locked="0" hidden="1"/>
    </xf>
    <xf numFmtId="1" fontId="5" fillId="4" borderId="1" xfId="0" applyNumberFormat="1" applyFont="1" applyFill="1" applyBorder="1" applyAlignment="1" applyProtection="1">
      <alignment horizontal="center"/>
      <protection locked="0" hidden="1"/>
    </xf>
    <xf numFmtId="0" fontId="5" fillId="4" borderId="1" xfId="0" applyFont="1" applyFill="1" applyBorder="1" applyProtection="1">
      <protection locked="0" hidden="1"/>
    </xf>
    <xf numFmtId="0" fontId="8" fillId="3" borderId="0" xfId="0" applyFont="1" applyFill="1" applyProtection="1">
      <protection hidden="1"/>
    </xf>
    <xf numFmtId="0" fontId="32" fillId="0" borderId="0" xfId="0" applyFont="1" applyProtection="1">
      <protection hidden="1"/>
    </xf>
    <xf numFmtId="165" fontId="32" fillId="0" borderId="0" xfId="0" applyNumberFormat="1" applyFont="1" applyProtection="1">
      <protection hidden="1"/>
    </xf>
    <xf numFmtId="165" fontId="7" fillId="3" borderId="1" xfId="1" applyNumberFormat="1" applyFont="1" applyFill="1" applyBorder="1" applyAlignment="1" applyProtection="1">
      <alignment horizontal="center" vertical="center"/>
      <protection hidden="1"/>
    </xf>
    <xf numFmtId="9" fontId="7" fillId="3" borderId="1" xfId="3" applyNumberFormat="1" applyFont="1" applyFill="1" applyBorder="1" applyAlignment="1" applyProtection="1">
      <alignment horizontal="center" vertical="center"/>
      <protection hidden="1"/>
    </xf>
    <xf numFmtId="0" fontId="5" fillId="3" borderId="0" xfId="0" applyFont="1" applyFill="1" applyProtection="1">
      <protection hidden="1"/>
    </xf>
    <xf numFmtId="0" fontId="1" fillId="0" borderId="0" xfId="0" applyFont="1" applyProtection="1">
      <protection hidden="1"/>
    </xf>
    <xf numFmtId="165" fontId="1" fillId="0" borderId="0" xfId="0" applyNumberFormat="1" applyFont="1" applyProtection="1">
      <protection hidden="1"/>
    </xf>
    <xf numFmtId="166" fontId="5" fillId="3" borderId="1" xfId="1" applyNumberFormat="1" applyFont="1" applyFill="1" applyBorder="1" applyAlignment="1" applyProtection="1">
      <alignment horizontal="center" vertical="center"/>
      <protection hidden="1"/>
    </xf>
    <xf numFmtId="43" fontId="1" fillId="0" borderId="0" xfId="0" applyNumberFormat="1" applyFont="1" applyProtection="1">
      <protection hidden="1"/>
    </xf>
    <xf numFmtId="166" fontId="1" fillId="0" borderId="0" xfId="0" applyNumberFormat="1" applyFont="1" applyProtection="1">
      <protection hidden="1"/>
    </xf>
    <xf numFmtId="165" fontId="7" fillId="3" borderId="1" xfId="1" applyNumberFormat="1" applyFont="1" applyFill="1" applyBorder="1" applyAlignment="1" applyProtection="1">
      <alignment horizontal="center" vertical="center"/>
      <protection locked="0" hidden="1"/>
    </xf>
    <xf numFmtId="43" fontId="30" fillId="0" borderId="0" xfId="0" applyNumberFormat="1" applyFont="1" applyProtection="1">
      <protection hidden="1"/>
    </xf>
    <xf numFmtId="0" fontId="19" fillId="3" borderId="0" xfId="0" applyFont="1" applyFill="1" applyAlignment="1" applyProtection="1">
      <alignment horizontal="center" vertical="center"/>
      <protection hidden="1"/>
    </xf>
    <xf numFmtId="0" fontId="19" fillId="3" borderId="0" xfId="0" applyFont="1" applyFill="1" applyAlignment="1" applyProtection="1">
      <alignment horizontal="right" vertical="center" indent="31"/>
      <protection hidden="1"/>
    </xf>
    <xf numFmtId="0" fontId="20" fillId="9" borderId="9" xfId="2" applyFont="1" applyFill="1" applyBorder="1" applyAlignment="1" applyProtection="1">
      <alignment horizontal="center" vertical="center"/>
      <protection locked="0" hidden="1"/>
    </xf>
    <xf numFmtId="0" fontId="20" fillId="9" borderId="10" xfId="2" applyFont="1" applyFill="1" applyBorder="1" applyAlignment="1" applyProtection="1">
      <alignment horizontal="center" vertical="center"/>
      <protection locked="0" hidden="1"/>
    </xf>
    <xf numFmtId="0" fontId="7" fillId="3" borderId="1" xfId="0" applyFont="1" applyFill="1" applyBorder="1" applyAlignment="1" applyProtection="1">
      <alignment horizontal="center"/>
      <protection hidden="1"/>
    </xf>
    <xf numFmtId="1" fontId="15" fillId="7" borderId="11" xfId="0" applyNumberFormat="1" applyFont="1" applyFill="1" applyBorder="1" applyAlignment="1" applyProtection="1">
      <alignment horizontal="center" vertical="center"/>
      <protection hidden="1"/>
    </xf>
    <xf numFmtId="1" fontId="15" fillId="7" borderId="12" xfId="0" applyNumberFormat="1" applyFont="1" applyFill="1" applyBorder="1" applyAlignment="1" applyProtection="1">
      <alignment horizontal="center" vertical="center"/>
      <protection hidden="1"/>
    </xf>
    <xf numFmtId="1" fontId="15" fillId="7" borderId="13" xfId="0" applyNumberFormat="1" applyFont="1" applyFill="1" applyBorder="1" applyAlignment="1" applyProtection="1">
      <alignment horizontal="center" vertical="center"/>
      <protection hidden="1"/>
    </xf>
    <xf numFmtId="0" fontId="14" fillId="7" borderId="5" xfId="0" applyFont="1" applyFill="1" applyBorder="1" applyAlignment="1" applyProtection="1">
      <alignment horizontal="center" vertical="center"/>
      <protection hidden="1"/>
    </xf>
    <xf numFmtId="0" fontId="14" fillId="7" borderId="6" xfId="0" applyFont="1" applyFill="1" applyBorder="1" applyAlignment="1" applyProtection="1">
      <alignment horizontal="center" vertical="center"/>
      <protection hidden="1"/>
    </xf>
    <xf numFmtId="0" fontId="14" fillId="7" borderId="7" xfId="0" applyFont="1" applyFill="1" applyBorder="1" applyAlignment="1" applyProtection="1">
      <alignment horizontal="center" vertical="center"/>
      <protection hidden="1"/>
    </xf>
    <xf numFmtId="0" fontId="15" fillId="7" borderId="5" xfId="0" applyFont="1" applyFill="1" applyBorder="1" applyAlignment="1" applyProtection="1">
      <alignment horizontal="center" vertical="center"/>
      <protection hidden="1"/>
    </xf>
    <xf numFmtId="0" fontId="15" fillId="7" borderId="6" xfId="0" applyFont="1" applyFill="1" applyBorder="1" applyAlignment="1" applyProtection="1">
      <alignment horizontal="center" vertical="center"/>
      <protection hidden="1"/>
    </xf>
    <xf numFmtId="0" fontId="15" fillId="7" borderId="7" xfId="0" applyFont="1" applyFill="1" applyBorder="1" applyAlignment="1" applyProtection="1">
      <alignment horizontal="center" vertical="center"/>
      <protection hidden="1"/>
    </xf>
    <xf numFmtId="0" fontId="5" fillId="3" borderId="5" xfId="0" applyFont="1" applyFill="1" applyBorder="1" applyAlignment="1" applyProtection="1">
      <alignment horizontal="center" vertical="center" wrapText="1"/>
      <protection hidden="1"/>
    </xf>
    <xf numFmtId="0" fontId="5" fillId="3" borderId="6" xfId="0" applyFont="1" applyFill="1" applyBorder="1" applyAlignment="1" applyProtection="1">
      <alignment horizontal="center" vertical="center" wrapText="1"/>
      <protection hidden="1"/>
    </xf>
    <xf numFmtId="0" fontId="5" fillId="3" borderId="7" xfId="0" applyFont="1" applyFill="1" applyBorder="1" applyAlignment="1" applyProtection="1">
      <alignment horizontal="center" vertical="center" wrapText="1"/>
      <protection hidden="1"/>
    </xf>
    <xf numFmtId="0" fontId="5" fillId="3" borderId="5" xfId="0" applyFont="1" applyFill="1" applyBorder="1" applyAlignment="1" applyProtection="1">
      <alignment horizontal="center" vertical="center"/>
      <protection hidden="1"/>
    </xf>
    <xf numFmtId="0" fontId="5" fillId="3" borderId="6" xfId="0" applyFont="1" applyFill="1" applyBorder="1" applyAlignment="1" applyProtection="1">
      <alignment horizontal="center" vertical="center"/>
      <protection hidden="1"/>
    </xf>
    <xf numFmtId="0" fontId="5" fillId="3" borderId="7" xfId="0" applyFont="1" applyFill="1" applyBorder="1" applyAlignment="1" applyProtection="1">
      <alignment horizontal="center" vertical="center"/>
      <protection hidden="1"/>
    </xf>
    <xf numFmtId="0" fontId="11" fillId="3" borderId="1" xfId="0" applyFont="1" applyFill="1" applyBorder="1" applyAlignment="1" applyProtection="1">
      <alignment horizontal="center"/>
      <protection hidden="1"/>
    </xf>
    <xf numFmtId="0" fontId="15" fillId="7" borderId="1" xfId="0" applyFont="1" applyFill="1" applyBorder="1" applyAlignment="1" applyProtection="1">
      <alignment horizontal="center" vertical="center"/>
      <protection hidden="1"/>
    </xf>
    <xf numFmtId="165" fontId="7" fillId="3" borderId="1" xfId="1" applyNumberFormat="1" applyFont="1" applyFill="1" applyBorder="1" applyAlignment="1" applyProtection="1">
      <alignment horizontal="center" vertical="center"/>
      <protection hidden="1"/>
    </xf>
    <xf numFmtId="165" fontId="7" fillId="4" borderId="1" xfId="1" applyNumberFormat="1" applyFont="1" applyFill="1" applyBorder="1" applyAlignment="1" applyProtection="1">
      <alignment horizontal="center" vertical="center"/>
      <protection locked="0" hidden="1"/>
    </xf>
    <xf numFmtId="9" fontId="7" fillId="3" borderId="1" xfId="3" applyNumberFormat="1" applyFont="1" applyFill="1" applyBorder="1" applyAlignment="1" applyProtection="1">
      <alignment horizontal="center" vertical="center"/>
      <protection hidden="1"/>
    </xf>
    <xf numFmtId="0" fontId="14" fillId="7" borderId="2" xfId="0" applyFont="1" applyFill="1" applyBorder="1" applyAlignment="1" applyProtection="1">
      <alignment horizontal="center" vertical="center"/>
      <protection hidden="1"/>
    </xf>
    <xf numFmtId="0" fontId="14" fillId="7" borderId="3" xfId="0" applyFont="1" applyFill="1" applyBorder="1" applyAlignment="1" applyProtection="1">
      <alignment horizontal="center" vertical="center"/>
      <protection hidden="1"/>
    </xf>
    <xf numFmtId="0" fontId="15" fillId="7" borderId="0" xfId="0" applyFont="1" applyFill="1" applyAlignment="1" applyProtection="1">
      <alignment horizontal="center" vertical="center"/>
      <protection hidden="1"/>
    </xf>
    <xf numFmtId="0" fontId="15" fillId="7" borderId="3" xfId="0" applyFont="1" applyFill="1" applyBorder="1" applyAlignment="1" applyProtection="1">
      <alignment horizontal="center" vertical="center"/>
      <protection hidden="1"/>
    </xf>
    <xf numFmtId="0" fontId="3" fillId="5" borderId="0" xfId="0" applyFont="1" applyFill="1" applyAlignment="1" applyProtection="1">
      <alignment horizontal="center" wrapText="1"/>
      <protection hidden="1"/>
    </xf>
    <xf numFmtId="1" fontId="3" fillId="3" borderId="1" xfId="0" applyNumberFormat="1" applyFont="1" applyFill="1" applyBorder="1" applyAlignment="1" applyProtection="1">
      <alignment horizontal="center" vertical="center"/>
      <protection hidden="1"/>
    </xf>
    <xf numFmtId="9" fontId="7" fillId="3" borderId="1" xfId="3" applyFont="1" applyFill="1" applyBorder="1" applyAlignment="1" applyProtection="1">
      <alignment horizontal="center" vertical="center"/>
      <protection hidden="1"/>
    </xf>
    <xf numFmtId="0" fontId="13" fillId="3" borderId="1" xfId="0" applyFont="1" applyFill="1" applyBorder="1" applyAlignment="1" applyProtection="1">
      <alignment horizontal="center"/>
      <protection hidden="1"/>
    </xf>
    <xf numFmtId="0" fontId="17" fillId="7" borderId="4" xfId="0" applyFont="1" applyFill="1" applyBorder="1" applyAlignment="1" applyProtection="1">
      <alignment horizontal="center" vertical="center"/>
      <protection hidden="1"/>
    </xf>
    <xf numFmtId="0" fontId="12" fillId="0" borderId="1" xfId="0" applyFont="1" applyBorder="1" applyAlignment="1" applyProtection="1">
      <alignment horizontal="center" vertical="center"/>
      <protection hidden="1"/>
    </xf>
    <xf numFmtId="165" fontId="14" fillId="7" borderId="1" xfId="1" applyNumberFormat="1" applyFont="1" applyFill="1" applyBorder="1" applyAlignment="1" applyProtection="1">
      <alignment horizontal="center" vertical="center"/>
      <protection hidden="1"/>
    </xf>
    <xf numFmtId="165" fontId="7" fillId="4" borderId="5" xfId="1" applyNumberFormat="1" applyFont="1" applyFill="1" applyBorder="1" applyAlignment="1" applyProtection="1">
      <alignment horizontal="center" vertical="center"/>
      <protection locked="0" hidden="1"/>
    </xf>
    <xf numFmtId="165" fontId="7" fillId="4" borderId="7" xfId="1" applyNumberFormat="1" applyFont="1" applyFill="1" applyBorder="1" applyAlignment="1" applyProtection="1">
      <alignment horizontal="center" vertical="center"/>
      <protection locked="0" hidden="1"/>
    </xf>
    <xf numFmtId="0" fontId="14" fillId="7" borderId="1" xfId="0" applyFont="1" applyFill="1" applyBorder="1" applyAlignment="1" applyProtection="1">
      <alignment horizontal="center" vertical="center"/>
      <protection hidden="1"/>
    </xf>
    <xf numFmtId="0" fontId="18" fillId="7" borderId="1" xfId="0" applyFont="1" applyFill="1" applyBorder="1" applyAlignment="1" applyProtection="1">
      <alignment horizontal="center" wrapText="1"/>
      <protection hidden="1"/>
    </xf>
    <xf numFmtId="0" fontId="24" fillId="7" borderId="5" xfId="0" applyFont="1" applyFill="1" applyBorder="1" applyAlignment="1" applyProtection="1">
      <alignment horizontal="center" vertical="center"/>
      <protection hidden="1"/>
    </xf>
    <xf numFmtId="0" fontId="24" fillId="7" borderId="6" xfId="0" applyFont="1" applyFill="1" applyBorder="1" applyAlignment="1" applyProtection="1">
      <alignment horizontal="center" vertical="center"/>
      <protection hidden="1"/>
    </xf>
    <xf numFmtId="0" fontId="24" fillId="7" borderId="7" xfId="0" applyFont="1" applyFill="1" applyBorder="1" applyAlignment="1" applyProtection="1">
      <alignment horizontal="center" vertical="center"/>
      <protection hidden="1"/>
    </xf>
    <xf numFmtId="0" fontId="24" fillId="7" borderId="5" xfId="0" applyFont="1" applyFill="1" applyBorder="1" applyAlignment="1" applyProtection="1">
      <alignment horizontal="center"/>
      <protection hidden="1"/>
    </xf>
    <xf numFmtId="0" fontId="24" fillId="7" borderId="6" xfId="0" applyFont="1" applyFill="1" applyBorder="1" applyAlignment="1" applyProtection="1">
      <alignment horizontal="center"/>
      <protection hidden="1"/>
    </xf>
    <xf numFmtId="0" fontId="24" fillId="7" borderId="7" xfId="0" applyFont="1" applyFill="1" applyBorder="1" applyAlignment="1" applyProtection="1">
      <alignment horizontal="center"/>
      <protection hidden="1"/>
    </xf>
    <xf numFmtId="0" fontId="17" fillId="10" borderId="4" xfId="0" applyFont="1" applyFill="1" applyBorder="1" applyAlignment="1" applyProtection="1">
      <alignment horizontal="center" vertical="center" wrapText="1"/>
      <protection hidden="1"/>
    </xf>
    <xf numFmtId="0" fontId="17" fillId="10" borderId="4" xfId="0" applyFont="1" applyFill="1" applyBorder="1" applyAlignment="1" applyProtection="1">
      <alignment horizontal="center" vertical="center"/>
      <protection hidden="1"/>
    </xf>
    <xf numFmtId="0" fontId="15" fillId="7" borderId="0" xfId="0" applyFont="1" applyFill="1" applyAlignment="1" applyProtection="1">
      <alignment horizontal="center"/>
      <protection hidden="1"/>
    </xf>
    <xf numFmtId="0" fontId="15" fillId="7" borderId="3" xfId="0" applyFont="1" applyFill="1" applyBorder="1" applyAlignment="1" applyProtection="1">
      <alignment horizontal="center"/>
      <protection hidden="1"/>
    </xf>
    <xf numFmtId="0" fontId="15" fillId="7" borderId="5" xfId="0" applyFont="1" applyFill="1" applyBorder="1" applyAlignment="1" applyProtection="1">
      <alignment horizontal="center"/>
      <protection hidden="1"/>
    </xf>
    <xf numFmtId="0" fontId="15" fillId="7" borderId="6" xfId="0" applyFont="1" applyFill="1" applyBorder="1" applyAlignment="1" applyProtection="1">
      <alignment horizontal="center"/>
      <protection hidden="1"/>
    </xf>
    <xf numFmtId="0" fontId="15" fillId="7" borderId="7" xfId="0" applyFont="1" applyFill="1" applyBorder="1" applyAlignment="1" applyProtection="1">
      <alignment horizontal="center"/>
      <protection hidden="1"/>
    </xf>
    <xf numFmtId="0" fontId="14" fillId="7" borderId="5" xfId="0" applyFont="1" applyFill="1" applyBorder="1" applyAlignment="1" applyProtection="1">
      <alignment horizontal="center"/>
      <protection hidden="1"/>
    </xf>
    <xf numFmtId="0" fontId="14" fillId="7" borderId="6" xfId="0" applyFont="1" applyFill="1" applyBorder="1" applyAlignment="1" applyProtection="1">
      <alignment horizontal="center"/>
      <protection hidden="1"/>
    </xf>
    <xf numFmtId="0" fontId="14" fillId="7" borderId="7" xfId="0" applyFont="1" applyFill="1" applyBorder="1" applyAlignment="1" applyProtection="1">
      <alignment horizontal="center"/>
      <protection hidden="1"/>
    </xf>
    <xf numFmtId="0" fontId="14" fillId="7" borderId="2" xfId="0" applyFont="1" applyFill="1" applyBorder="1" applyAlignment="1" applyProtection="1">
      <alignment horizontal="center"/>
      <protection hidden="1"/>
    </xf>
    <xf numFmtId="0" fontId="14" fillId="7" borderId="3" xfId="0" applyFont="1" applyFill="1" applyBorder="1" applyAlignment="1" applyProtection="1">
      <alignment horizontal="center"/>
      <protection hidden="1"/>
    </xf>
    <xf numFmtId="0" fontId="15" fillId="7" borderId="1" xfId="0" applyFont="1" applyFill="1" applyBorder="1" applyAlignment="1" applyProtection="1">
      <alignment horizontal="center"/>
      <protection hidden="1"/>
    </xf>
    <xf numFmtId="0" fontId="7" fillId="3" borderId="5" xfId="0" applyFont="1" applyFill="1" applyBorder="1" applyAlignment="1" applyProtection="1">
      <alignment horizontal="center"/>
      <protection hidden="1"/>
    </xf>
    <xf numFmtId="0" fontId="7" fillId="3" borderId="6" xfId="0" applyFont="1" applyFill="1" applyBorder="1" applyAlignment="1" applyProtection="1">
      <alignment horizontal="center"/>
      <protection hidden="1"/>
    </xf>
    <xf numFmtId="0" fontId="7" fillId="3" borderId="7" xfId="0" applyFont="1" applyFill="1" applyBorder="1" applyAlignment="1" applyProtection="1">
      <alignment horizontal="center"/>
      <protection hidden="1"/>
    </xf>
    <xf numFmtId="9" fontId="7" fillId="3" borderId="5" xfId="3" applyFont="1" applyFill="1" applyBorder="1" applyAlignment="1" applyProtection="1">
      <alignment horizontal="center" vertical="center"/>
      <protection hidden="1"/>
    </xf>
    <xf numFmtId="9" fontId="7" fillId="3" borderId="7" xfId="3" applyFont="1" applyFill="1" applyBorder="1" applyAlignment="1" applyProtection="1">
      <alignment horizontal="center" vertical="center"/>
      <protection hidden="1"/>
    </xf>
    <xf numFmtId="1" fontId="15" fillId="7" borderId="5" xfId="0" applyNumberFormat="1" applyFont="1" applyFill="1" applyBorder="1" applyAlignment="1" applyProtection="1">
      <alignment horizontal="center"/>
      <protection hidden="1"/>
    </xf>
    <xf numFmtId="1" fontId="15" fillId="7" borderId="6" xfId="0" applyNumberFormat="1" applyFont="1" applyFill="1" applyBorder="1" applyAlignment="1" applyProtection="1">
      <alignment horizontal="center"/>
      <protection hidden="1"/>
    </xf>
    <xf numFmtId="1" fontId="15" fillId="7" borderId="7" xfId="0" applyNumberFormat="1" applyFont="1" applyFill="1" applyBorder="1" applyAlignment="1" applyProtection="1">
      <alignment horizontal="center"/>
      <protection hidden="1"/>
    </xf>
    <xf numFmtId="165" fontId="7" fillId="3" borderId="5" xfId="1" applyNumberFormat="1" applyFont="1" applyFill="1" applyBorder="1" applyAlignment="1" applyProtection="1">
      <alignment horizontal="center" vertical="center"/>
      <protection hidden="1"/>
    </xf>
    <xf numFmtId="165" fontId="7" fillId="3" borderId="7" xfId="1" applyNumberFormat="1" applyFont="1" applyFill="1" applyBorder="1" applyAlignment="1" applyProtection="1">
      <alignment horizontal="center" vertical="center"/>
      <protection hidden="1"/>
    </xf>
    <xf numFmtId="0" fontId="38" fillId="3" borderId="5" xfId="0" applyFont="1" applyFill="1" applyBorder="1" applyAlignment="1" applyProtection="1">
      <alignment horizontal="left" vertical="center"/>
      <protection locked="0" hidden="1"/>
    </xf>
    <xf numFmtId="0" fontId="38" fillId="3" borderId="6" xfId="0" applyFont="1" applyFill="1" applyBorder="1" applyAlignment="1" applyProtection="1">
      <alignment horizontal="left" vertical="center"/>
      <protection locked="0" hidden="1"/>
    </xf>
    <xf numFmtId="0" fontId="38" fillId="3" borderId="7" xfId="0" applyFont="1" applyFill="1" applyBorder="1" applyAlignment="1" applyProtection="1">
      <alignment horizontal="left" vertical="center"/>
      <protection locked="0" hidden="1"/>
    </xf>
    <xf numFmtId="0" fontId="17" fillId="7" borderId="4" xfId="0" applyFont="1" applyFill="1" applyBorder="1" applyAlignment="1" applyProtection="1">
      <alignment horizontal="center" vertical="center"/>
      <protection locked="0" hidden="1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CC3399"/>
      <color rgb="FFFF99FF"/>
      <color rgb="FF7DC2C9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3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4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9ECB1E92-D673-40D4-BC25-4FF8815FE0E1}" type="doc">
      <dgm:prSet loTypeId="urn:microsoft.com/office/officeart/2005/8/layout/list1" loCatId="list" qsTypeId="urn:microsoft.com/office/officeart/2005/8/quickstyle/simple1" qsCatId="simple" csTypeId="urn:microsoft.com/office/officeart/2005/8/colors/accent1_2" csCatId="accent1" phldr="1"/>
      <dgm:spPr/>
    </dgm:pt>
    <dgm:pt modelId="{03A77BB5-01A3-4FFA-B289-3D4F4B5C38BC}">
      <dgm:prSet phldrT="[Text]" custT="1"/>
      <dgm:spPr/>
      <dgm:t>
        <a:bodyPr/>
        <a:lstStyle/>
        <a:p>
          <a:pPr algn="ctr"/>
          <a:r>
            <a:rPr lang="fa-IR" sz="1400" b="1" cap="all" spc="0">
              <a:ln w="0"/>
              <a:solidFill>
                <a:schemeClr val="accent1">
                  <a:lumMod val="20000"/>
                  <a:lumOff val="80000"/>
                </a:schemeClr>
              </a:solidFill>
              <a:effectLst>
                <a:reflection blurRad="12700" stA="50000" endPos="50000" dist="5000" dir="5400000" sy="-100000" rotWithShape="0"/>
              </a:effectLst>
              <a:cs typeface="B Titr" panose="00000700000000000000" pitchFamily="2" charset="-78"/>
            </a:rPr>
            <a:t>محاسبه حقوق کارکنان رسمی ، پیمانی و قرارداد انجام کارمعین  مشمول قانون</a:t>
          </a:r>
          <a:r>
            <a:rPr lang="fa-IR" sz="1400" b="1" cap="all" spc="0" baseline="0">
              <a:ln w="0"/>
              <a:solidFill>
                <a:schemeClr val="accent1">
                  <a:lumMod val="20000"/>
                  <a:lumOff val="80000"/>
                </a:schemeClr>
              </a:solidFill>
              <a:effectLst>
                <a:reflection blurRad="12700" stA="50000" endPos="50000" dist="5000" dir="5400000" sy="-100000" rotWithShape="0"/>
              </a:effectLst>
              <a:cs typeface="B Titr" panose="00000700000000000000" pitchFamily="2" charset="-78"/>
            </a:rPr>
            <a:t> مدیریت خدمات کشوری </a:t>
          </a:r>
        </a:p>
        <a:p>
          <a:pPr algn="ctr"/>
          <a:r>
            <a:rPr lang="fa-IR" sz="1400" b="1" cap="all" spc="0" baseline="0">
              <a:ln w="0"/>
              <a:solidFill>
                <a:schemeClr val="accent1">
                  <a:lumMod val="20000"/>
                  <a:lumOff val="80000"/>
                </a:schemeClr>
              </a:solidFill>
              <a:effectLst>
                <a:reflection blurRad="12700" stA="50000" endPos="50000" dist="5000" dir="5400000" sy="-100000" rotWithShape="0"/>
              </a:effectLst>
              <a:cs typeface="B Titr" panose="00000700000000000000" pitchFamily="2" charset="-78"/>
            </a:rPr>
            <a:t>و بازنشستگان و موظفین در سال 1400</a:t>
          </a:r>
        </a:p>
        <a:p>
          <a:pPr algn="ctr"/>
          <a:r>
            <a:rPr lang="fa-IR" sz="900" b="1" cap="all" spc="0">
              <a:ln w="0"/>
              <a:solidFill>
                <a:schemeClr val="accent1">
                  <a:lumMod val="20000"/>
                  <a:lumOff val="80000"/>
                </a:schemeClr>
              </a:solidFill>
              <a:effectLst>
                <a:reflection blurRad="12700" stA="50000" endPos="50000" dist="5000" dir="5400000" sy="-100000" rotWithShape="0"/>
              </a:effectLst>
              <a:cs typeface="B Titr" panose="00000700000000000000" pitchFamily="2" charset="-78"/>
            </a:rPr>
            <a:t>در اجرای تصویب نامه شماره 8013ت / 58708 هـ مورخ 1400/1/29  هیئت محترم وزیران  و اصلاحات آن و نامه شماره 58708/9035 مورخ 1400/1/30</a:t>
          </a:r>
          <a:br>
            <a:rPr lang="fa-IR" sz="900" b="1" cap="all" spc="0">
              <a:ln w="0"/>
              <a:solidFill>
                <a:schemeClr val="accent1">
                  <a:lumMod val="20000"/>
                  <a:lumOff val="80000"/>
                </a:schemeClr>
              </a:solidFill>
              <a:effectLst>
                <a:reflection blurRad="12700" stA="50000" endPos="50000" dist="5000" dir="5400000" sy="-100000" rotWithShape="0"/>
              </a:effectLst>
              <a:cs typeface="B Titr" panose="00000700000000000000" pitchFamily="2" charset="-78"/>
            </a:rPr>
          </a:br>
          <a:r>
            <a:rPr lang="fa-IR" sz="900" b="1" cap="all" spc="0">
              <a:ln w="0"/>
              <a:solidFill>
                <a:schemeClr val="accent1">
                  <a:lumMod val="20000"/>
                  <a:lumOff val="80000"/>
                </a:schemeClr>
              </a:solidFill>
              <a:effectLst>
                <a:reflection blurRad="12700" stA="50000" endPos="50000" dist="5000" dir="5400000" sy="-100000" rotWithShape="0"/>
              </a:effectLst>
              <a:cs typeface="B Titr" panose="00000700000000000000" pitchFamily="2" charset="-78"/>
            </a:rPr>
            <a:t>و بخشنامه شماره 2608 مورخ 1400/1/23 سازمان اداری و استخدامی کشور</a:t>
          </a:r>
        </a:p>
      </dgm:t>
    </dgm:pt>
    <dgm:pt modelId="{73EF9502-81A9-47A8-B881-7F0D0CE64D7B}" type="parTrans" cxnId="{212873E1-C6A9-4AF2-B523-5A9FD52FA147}">
      <dgm:prSet/>
      <dgm:spPr/>
      <dgm:t>
        <a:bodyPr/>
        <a:lstStyle/>
        <a:p>
          <a:endParaRPr lang="en-US"/>
        </a:p>
      </dgm:t>
    </dgm:pt>
    <dgm:pt modelId="{28CE9471-97CD-4DD1-997E-D0A403858D22}" type="sibTrans" cxnId="{212873E1-C6A9-4AF2-B523-5A9FD52FA147}">
      <dgm:prSet/>
      <dgm:spPr/>
      <dgm:t>
        <a:bodyPr/>
        <a:lstStyle/>
        <a:p>
          <a:endParaRPr lang="en-US"/>
        </a:p>
      </dgm:t>
    </dgm:pt>
    <dgm:pt modelId="{C59DF339-848C-4CF4-961A-4C26CD323B76}" type="pres">
      <dgm:prSet presAssocID="{9ECB1E92-D673-40D4-BC25-4FF8815FE0E1}" presName="linear" presStyleCnt="0">
        <dgm:presLayoutVars>
          <dgm:dir/>
          <dgm:animLvl val="lvl"/>
          <dgm:resizeHandles val="exact"/>
        </dgm:presLayoutVars>
      </dgm:prSet>
      <dgm:spPr/>
    </dgm:pt>
    <dgm:pt modelId="{B6821C83-D5D9-4AD7-B237-ECF5B37FF8F0}" type="pres">
      <dgm:prSet presAssocID="{03A77BB5-01A3-4FFA-B289-3D4F4B5C38BC}" presName="parentLin" presStyleCnt="0"/>
      <dgm:spPr/>
    </dgm:pt>
    <dgm:pt modelId="{A8A3B02D-2155-4F82-BD9D-DE7D60C62C49}" type="pres">
      <dgm:prSet presAssocID="{03A77BB5-01A3-4FFA-B289-3D4F4B5C38BC}" presName="parentLeftMargin" presStyleLbl="node1" presStyleIdx="0" presStyleCnt="1"/>
      <dgm:spPr/>
      <dgm:t>
        <a:bodyPr/>
        <a:lstStyle/>
        <a:p>
          <a:endParaRPr lang="en-US"/>
        </a:p>
      </dgm:t>
    </dgm:pt>
    <dgm:pt modelId="{12EB1014-6368-4B8A-9072-AA4488CE4696}" type="pres">
      <dgm:prSet presAssocID="{03A77BB5-01A3-4FFA-B289-3D4F4B5C38BC}" presName="parentText" presStyleLbl="node1" presStyleIdx="0" presStyleCnt="1" custScaleX="141241" custLinFactNeighborX="-34749" custLinFactNeighborY="3405">
        <dgm:presLayoutVars>
          <dgm:chMax val="0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0FD8CC8D-EB17-430E-9E44-4F38FF5579E6}" type="pres">
      <dgm:prSet presAssocID="{03A77BB5-01A3-4FFA-B289-3D4F4B5C38BC}" presName="negativeSpace" presStyleCnt="0"/>
      <dgm:spPr/>
    </dgm:pt>
    <dgm:pt modelId="{C304C0F0-E054-476A-824C-1ED16CAF0C93}" type="pres">
      <dgm:prSet presAssocID="{03A77BB5-01A3-4FFA-B289-3D4F4B5C38BC}" presName="childText" presStyleLbl="conFgAcc1" presStyleIdx="0" presStyleCnt="1">
        <dgm:presLayoutVars>
          <dgm:bulletEnabled val="1"/>
        </dgm:presLayoutVars>
      </dgm:prSet>
      <dgm:spPr>
        <a:solidFill>
          <a:schemeClr val="accent1">
            <a:lumMod val="75000"/>
            <a:alpha val="90000"/>
          </a:schemeClr>
        </a:solidFill>
      </dgm:spPr>
    </dgm:pt>
  </dgm:ptLst>
  <dgm:cxnLst>
    <dgm:cxn modelId="{212873E1-C6A9-4AF2-B523-5A9FD52FA147}" srcId="{9ECB1E92-D673-40D4-BC25-4FF8815FE0E1}" destId="{03A77BB5-01A3-4FFA-B289-3D4F4B5C38BC}" srcOrd="0" destOrd="0" parTransId="{73EF9502-81A9-47A8-B881-7F0D0CE64D7B}" sibTransId="{28CE9471-97CD-4DD1-997E-D0A403858D22}"/>
    <dgm:cxn modelId="{D2DD83F0-DD91-49FD-A420-642E0AF23144}" type="presOf" srcId="{03A77BB5-01A3-4FFA-B289-3D4F4B5C38BC}" destId="{A8A3B02D-2155-4F82-BD9D-DE7D60C62C49}" srcOrd="0" destOrd="0" presId="urn:microsoft.com/office/officeart/2005/8/layout/list1"/>
    <dgm:cxn modelId="{FD2A732E-304E-4794-8C1F-F8284BC5F320}" type="presOf" srcId="{9ECB1E92-D673-40D4-BC25-4FF8815FE0E1}" destId="{C59DF339-848C-4CF4-961A-4C26CD323B76}" srcOrd="0" destOrd="0" presId="urn:microsoft.com/office/officeart/2005/8/layout/list1"/>
    <dgm:cxn modelId="{F584FEB3-D62E-4D4F-9E72-21F2C28149F7}" type="presOf" srcId="{03A77BB5-01A3-4FFA-B289-3D4F4B5C38BC}" destId="{12EB1014-6368-4B8A-9072-AA4488CE4696}" srcOrd="1" destOrd="0" presId="urn:microsoft.com/office/officeart/2005/8/layout/list1"/>
    <dgm:cxn modelId="{1ACE5E2B-76E5-44A4-8D35-A147EFD9C00A}" type="presParOf" srcId="{C59DF339-848C-4CF4-961A-4C26CD323B76}" destId="{B6821C83-D5D9-4AD7-B237-ECF5B37FF8F0}" srcOrd="0" destOrd="0" presId="urn:microsoft.com/office/officeart/2005/8/layout/list1"/>
    <dgm:cxn modelId="{C1A9A842-F848-48C0-BD80-9F66EB1A76DC}" type="presParOf" srcId="{B6821C83-D5D9-4AD7-B237-ECF5B37FF8F0}" destId="{A8A3B02D-2155-4F82-BD9D-DE7D60C62C49}" srcOrd="0" destOrd="0" presId="urn:microsoft.com/office/officeart/2005/8/layout/list1"/>
    <dgm:cxn modelId="{3F0FA21E-0362-4961-B72B-6C10C3D9C5A0}" type="presParOf" srcId="{B6821C83-D5D9-4AD7-B237-ECF5B37FF8F0}" destId="{12EB1014-6368-4B8A-9072-AA4488CE4696}" srcOrd="1" destOrd="0" presId="urn:microsoft.com/office/officeart/2005/8/layout/list1"/>
    <dgm:cxn modelId="{800B77AF-992A-41CE-8C85-4317198985C0}" type="presParOf" srcId="{C59DF339-848C-4CF4-961A-4C26CD323B76}" destId="{0FD8CC8D-EB17-430E-9E44-4F38FF5579E6}" srcOrd="1" destOrd="0" presId="urn:microsoft.com/office/officeart/2005/8/layout/list1"/>
    <dgm:cxn modelId="{C1F76A3B-1950-467A-8E8C-AA4C5C2A1CBF}" type="presParOf" srcId="{C59DF339-848C-4CF4-961A-4C26CD323B76}" destId="{C304C0F0-E054-476A-824C-1ED16CAF0C93}" srcOrd="2" destOrd="0" presId="urn:microsoft.com/office/officeart/2005/8/layout/list1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9ECB1E92-D673-40D4-BC25-4FF8815FE0E1}" type="doc">
      <dgm:prSet loTypeId="urn:microsoft.com/office/officeart/2005/8/layout/list1" loCatId="list" qsTypeId="urn:microsoft.com/office/officeart/2005/8/quickstyle/simple1" qsCatId="simple" csTypeId="urn:microsoft.com/office/officeart/2005/8/colors/accent1_2" csCatId="accent1" phldr="1"/>
      <dgm:spPr/>
    </dgm:pt>
    <dgm:pt modelId="{03A77BB5-01A3-4FFA-B289-3D4F4B5C38BC}">
      <dgm:prSet phldrT="[Text]" custT="1"/>
      <dgm:spPr/>
      <dgm:t>
        <a:bodyPr/>
        <a:lstStyle/>
        <a:p>
          <a:pPr algn="ctr"/>
          <a:r>
            <a:rPr lang="fa-IR" sz="1700" b="1" cap="all" spc="0">
              <a:ln w="0"/>
              <a:solidFill>
                <a:schemeClr val="accent1">
                  <a:lumMod val="20000"/>
                  <a:lumOff val="80000"/>
                </a:schemeClr>
              </a:solidFill>
              <a:effectLst>
                <a:reflection blurRad="12700" stA="50000" endPos="50000" dist="5000" dir="5400000" sy="-100000" rotWithShape="0"/>
              </a:effectLst>
              <a:cs typeface="B Titr" panose="00000700000000000000" pitchFamily="2" charset="-78"/>
            </a:rPr>
            <a:t>محاسبه حقوق کارکنان رسمی ، پیمانی در سال 1400</a:t>
          </a:r>
          <a:endParaRPr lang="fa-IR" sz="1100" b="1" cap="all" spc="0">
            <a:ln w="0"/>
            <a:solidFill>
              <a:schemeClr val="accent1">
                <a:lumMod val="20000"/>
                <a:lumOff val="80000"/>
              </a:schemeClr>
            </a:solidFill>
            <a:effectLst>
              <a:reflection blurRad="12700" stA="50000" endPos="50000" dist="5000" dir="5400000" sy="-100000" rotWithShape="0"/>
            </a:effectLst>
            <a:cs typeface="B Titr" panose="00000700000000000000" pitchFamily="2" charset="-78"/>
          </a:endParaRPr>
        </a:p>
      </dgm:t>
    </dgm:pt>
    <dgm:pt modelId="{73EF9502-81A9-47A8-B881-7F0D0CE64D7B}" type="parTrans" cxnId="{212873E1-C6A9-4AF2-B523-5A9FD52FA147}">
      <dgm:prSet/>
      <dgm:spPr/>
      <dgm:t>
        <a:bodyPr/>
        <a:lstStyle/>
        <a:p>
          <a:endParaRPr lang="en-US"/>
        </a:p>
      </dgm:t>
    </dgm:pt>
    <dgm:pt modelId="{28CE9471-97CD-4DD1-997E-D0A403858D22}" type="sibTrans" cxnId="{212873E1-C6A9-4AF2-B523-5A9FD52FA147}">
      <dgm:prSet/>
      <dgm:spPr/>
      <dgm:t>
        <a:bodyPr/>
        <a:lstStyle/>
        <a:p>
          <a:endParaRPr lang="en-US"/>
        </a:p>
      </dgm:t>
    </dgm:pt>
    <dgm:pt modelId="{C59DF339-848C-4CF4-961A-4C26CD323B76}" type="pres">
      <dgm:prSet presAssocID="{9ECB1E92-D673-40D4-BC25-4FF8815FE0E1}" presName="linear" presStyleCnt="0">
        <dgm:presLayoutVars>
          <dgm:dir/>
          <dgm:animLvl val="lvl"/>
          <dgm:resizeHandles val="exact"/>
        </dgm:presLayoutVars>
      </dgm:prSet>
      <dgm:spPr/>
    </dgm:pt>
    <dgm:pt modelId="{B6821C83-D5D9-4AD7-B237-ECF5B37FF8F0}" type="pres">
      <dgm:prSet presAssocID="{03A77BB5-01A3-4FFA-B289-3D4F4B5C38BC}" presName="parentLin" presStyleCnt="0"/>
      <dgm:spPr/>
    </dgm:pt>
    <dgm:pt modelId="{A8A3B02D-2155-4F82-BD9D-DE7D60C62C49}" type="pres">
      <dgm:prSet presAssocID="{03A77BB5-01A3-4FFA-B289-3D4F4B5C38BC}" presName="parentLeftMargin" presStyleLbl="node1" presStyleIdx="0" presStyleCnt="1"/>
      <dgm:spPr/>
      <dgm:t>
        <a:bodyPr/>
        <a:lstStyle/>
        <a:p>
          <a:endParaRPr lang="en-US"/>
        </a:p>
      </dgm:t>
    </dgm:pt>
    <dgm:pt modelId="{12EB1014-6368-4B8A-9072-AA4488CE4696}" type="pres">
      <dgm:prSet presAssocID="{03A77BB5-01A3-4FFA-B289-3D4F4B5C38BC}" presName="parentText" presStyleLbl="node1" presStyleIdx="0" presStyleCnt="1" custScaleX="118426" custScaleY="52589" custLinFactNeighborX="58168" custLinFactNeighborY="-19299">
        <dgm:presLayoutVars>
          <dgm:chMax val="0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0FD8CC8D-EB17-430E-9E44-4F38FF5579E6}" type="pres">
      <dgm:prSet presAssocID="{03A77BB5-01A3-4FFA-B289-3D4F4B5C38BC}" presName="negativeSpace" presStyleCnt="0"/>
      <dgm:spPr/>
    </dgm:pt>
    <dgm:pt modelId="{C304C0F0-E054-476A-824C-1ED16CAF0C93}" type="pres">
      <dgm:prSet presAssocID="{03A77BB5-01A3-4FFA-B289-3D4F4B5C38BC}" presName="childText" presStyleLbl="conFgAcc1" presStyleIdx="0" presStyleCnt="1" custScaleY="32590" custLinFactNeighborY="15641">
        <dgm:presLayoutVars>
          <dgm:bulletEnabled val="1"/>
        </dgm:presLayoutVars>
      </dgm:prSet>
      <dgm:spPr/>
    </dgm:pt>
  </dgm:ptLst>
  <dgm:cxnLst>
    <dgm:cxn modelId="{212873E1-C6A9-4AF2-B523-5A9FD52FA147}" srcId="{9ECB1E92-D673-40D4-BC25-4FF8815FE0E1}" destId="{03A77BB5-01A3-4FFA-B289-3D4F4B5C38BC}" srcOrd="0" destOrd="0" parTransId="{73EF9502-81A9-47A8-B881-7F0D0CE64D7B}" sibTransId="{28CE9471-97CD-4DD1-997E-D0A403858D22}"/>
    <dgm:cxn modelId="{ACAD8D35-4A15-4C39-9633-40399472B174}" type="presOf" srcId="{03A77BB5-01A3-4FFA-B289-3D4F4B5C38BC}" destId="{12EB1014-6368-4B8A-9072-AA4488CE4696}" srcOrd="1" destOrd="0" presId="urn:microsoft.com/office/officeart/2005/8/layout/list1"/>
    <dgm:cxn modelId="{6FE757D3-E40A-4CF6-845C-A3846046E4BD}" type="presOf" srcId="{9ECB1E92-D673-40D4-BC25-4FF8815FE0E1}" destId="{C59DF339-848C-4CF4-961A-4C26CD323B76}" srcOrd="0" destOrd="0" presId="urn:microsoft.com/office/officeart/2005/8/layout/list1"/>
    <dgm:cxn modelId="{542F60A5-0F32-4CF7-AC12-839E3053E93B}" type="presOf" srcId="{03A77BB5-01A3-4FFA-B289-3D4F4B5C38BC}" destId="{A8A3B02D-2155-4F82-BD9D-DE7D60C62C49}" srcOrd="0" destOrd="0" presId="urn:microsoft.com/office/officeart/2005/8/layout/list1"/>
    <dgm:cxn modelId="{E595A4A4-B010-4457-89E9-AFD19765BDD4}" type="presParOf" srcId="{C59DF339-848C-4CF4-961A-4C26CD323B76}" destId="{B6821C83-D5D9-4AD7-B237-ECF5B37FF8F0}" srcOrd="0" destOrd="0" presId="urn:microsoft.com/office/officeart/2005/8/layout/list1"/>
    <dgm:cxn modelId="{67EA22A9-0DE8-4062-AFA3-3390C70B2673}" type="presParOf" srcId="{B6821C83-D5D9-4AD7-B237-ECF5B37FF8F0}" destId="{A8A3B02D-2155-4F82-BD9D-DE7D60C62C49}" srcOrd="0" destOrd="0" presId="urn:microsoft.com/office/officeart/2005/8/layout/list1"/>
    <dgm:cxn modelId="{5C87A4FC-56CF-4F00-ADD8-AB09B6C82CC4}" type="presParOf" srcId="{B6821C83-D5D9-4AD7-B237-ECF5B37FF8F0}" destId="{12EB1014-6368-4B8A-9072-AA4488CE4696}" srcOrd="1" destOrd="0" presId="urn:microsoft.com/office/officeart/2005/8/layout/list1"/>
    <dgm:cxn modelId="{CD9D6B77-E07C-4256-A5EA-1EC93460FAFC}" type="presParOf" srcId="{C59DF339-848C-4CF4-961A-4C26CD323B76}" destId="{0FD8CC8D-EB17-430E-9E44-4F38FF5579E6}" srcOrd="1" destOrd="0" presId="urn:microsoft.com/office/officeart/2005/8/layout/list1"/>
    <dgm:cxn modelId="{1EB5E85C-C01F-4E2C-B935-93A7AD18681B}" type="presParOf" srcId="{C59DF339-848C-4CF4-961A-4C26CD323B76}" destId="{C304C0F0-E054-476A-824C-1ED16CAF0C93}" srcOrd="2" destOrd="0" presId="urn:microsoft.com/office/officeart/2005/8/layout/list1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3.xml><?xml version="1.0" encoding="utf-8"?>
<dgm:dataModel xmlns:dgm="http://schemas.openxmlformats.org/drawingml/2006/diagram" xmlns:a="http://schemas.openxmlformats.org/drawingml/2006/main">
  <dgm:ptLst>
    <dgm:pt modelId="{9ECB1E92-D673-40D4-BC25-4FF8815FE0E1}" type="doc">
      <dgm:prSet loTypeId="urn:microsoft.com/office/officeart/2005/8/layout/list1" loCatId="list" qsTypeId="urn:microsoft.com/office/officeart/2005/8/quickstyle/simple1" qsCatId="simple" csTypeId="urn:microsoft.com/office/officeart/2005/8/colors/accent1_2" csCatId="accent1" phldr="1"/>
      <dgm:spPr/>
    </dgm:pt>
    <dgm:pt modelId="{03A77BB5-01A3-4FFA-B289-3D4F4B5C38BC}">
      <dgm:prSet phldrT="[Text]" custT="1"/>
      <dgm:spPr/>
      <dgm:t>
        <a:bodyPr/>
        <a:lstStyle/>
        <a:p>
          <a:pPr algn="ctr"/>
          <a:r>
            <a:rPr lang="fa-IR" sz="1700" b="1" cap="all" spc="0">
              <a:ln w="0"/>
              <a:solidFill>
                <a:schemeClr val="accent1">
                  <a:lumMod val="20000"/>
                  <a:lumOff val="80000"/>
                </a:schemeClr>
              </a:solidFill>
              <a:effectLst>
                <a:reflection blurRad="12700" stA="50000" endPos="50000" dist="5000" dir="5400000" sy="-100000" rotWithShape="0"/>
              </a:effectLst>
              <a:cs typeface="B Titr" panose="00000700000000000000" pitchFamily="2" charset="-78"/>
            </a:rPr>
            <a:t>محاسبه حقوق کارکنان قرارداد انجام کارمعین در سال 1400</a:t>
          </a:r>
          <a:endParaRPr lang="fa-IR" sz="1100" b="1" cap="all" spc="0">
            <a:ln w="0"/>
            <a:solidFill>
              <a:schemeClr val="accent1">
                <a:lumMod val="20000"/>
                <a:lumOff val="80000"/>
              </a:schemeClr>
            </a:solidFill>
            <a:effectLst>
              <a:reflection blurRad="12700" stA="50000" endPos="50000" dist="5000" dir="5400000" sy="-100000" rotWithShape="0"/>
            </a:effectLst>
            <a:cs typeface="B Titr" panose="00000700000000000000" pitchFamily="2" charset="-78"/>
          </a:endParaRPr>
        </a:p>
      </dgm:t>
    </dgm:pt>
    <dgm:pt modelId="{73EF9502-81A9-47A8-B881-7F0D0CE64D7B}" type="parTrans" cxnId="{212873E1-C6A9-4AF2-B523-5A9FD52FA147}">
      <dgm:prSet/>
      <dgm:spPr/>
      <dgm:t>
        <a:bodyPr/>
        <a:lstStyle/>
        <a:p>
          <a:endParaRPr lang="en-US"/>
        </a:p>
      </dgm:t>
    </dgm:pt>
    <dgm:pt modelId="{28CE9471-97CD-4DD1-997E-D0A403858D22}" type="sibTrans" cxnId="{212873E1-C6A9-4AF2-B523-5A9FD52FA147}">
      <dgm:prSet/>
      <dgm:spPr/>
      <dgm:t>
        <a:bodyPr/>
        <a:lstStyle/>
        <a:p>
          <a:endParaRPr lang="en-US"/>
        </a:p>
      </dgm:t>
    </dgm:pt>
    <dgm:pt modelId="{C59DF339-848C-4CF4-961A-4C26CD323B76}" type="pres">
      <dgm:prSet presAssocID="{9ECB1E92-D673-40D4-BC25-4FF8815FE0E1}" presName="linear" presStyleCnt="0">
        <dgm:presLayoutVars>
          <dgm:dir/>
          <dgm:animLvl val="lvl"/>
          <dgm:resizeHandles val="exact"/>
        </dgm:presLayoutVars>
      </dgm:prSet>
      <dgm:spPr/>
    </dgm:pt>
    <dgm:pt modelId="{B6821C83-D5D9-4AD7-B237-ECF5B37FF8F0}" type="pres">
      <dgm:prSet presAssocID="{03A77BB5-01A3-4FFA-B289-3D4F4B5C38BC}" presName="parentLin" presStyleCnt="0"/>
      <dgm:spPr/>
    </dgm:pt>
    <dgm:pt modelId="{A8A3B02D-2155-4F82-BD9D-DE7D60C62C49}" type="pres">
      <dgm:prSet presAssocID="{03A77BB5-01A3-4FFA-B289-3D4F4B5C38BC}" presName="parentLeftMargin" presStyleLbl="node1" presStyleIdx="0" presStyleCnt="1"/>
      <dgm:spPr/>
      <dgm:t>
        <a:bodyPr/>
        <a:lstStyle/>
        <a:p>
          <a:endParaRPr lang="en-US"/>
        </a:p>
      </dgm:t>
    </dgm:pt>
    <dgm:pt modelId="{12EB1014-6368-4B8A-9072-AA4488CE4696}" type="pres">
      <dgm:prSet presAssocID="{03A77BB5-01A3-4FFA-B289-3D4F4B5C38BC}" presName="parentText" presStyleLbl="node1" presStyleIdx="0" presStyleCnt="1" custScaleX="118426" custScaleY="52589" custLinFactNeighborX="58168" custLinFactNeighborY="-3245">
        <dgm:presLayoutVars>
          <dgm:chMax val="0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0FD8CC8D-EB17-430E-9E44-4F38FF5579E6}" type="pres">
      <dgm:prSet presAssocID="{03A77BB5-01A3-4FFA-B289-3D4F4B5C38BC}" presName="negativeSpace" presStyleCnt="0"/>
      <dgm:spPr/>
    </dgm:pt>
    <dgm:pt modelId="{C304C0F0-E054-476A-824C-1ED16CAF0C93}" type="pres">
      <dgm:prSet presAssocID="{03A77BB5-01A3-4FFA-B289-3D4F4B5C38BC}" presName="childText" presStyleLbl="conFgAcc1" presStyleIdx="0" presStyleCnt="1" custScaleY="32590" custLinFactNeighborY="15641">
        <dgm:presLayoutVars>
          <dgm:bulletEnabled val="1"/>
        </dgm:presLayoutVars>
      </dgm:prSet>
      <dgm:spPr/>
    </dgm:pt>
  </dgm:ptLst>
  <dgm:cxnLst>
    <dgm:cxn modelId="{212873E1-C6A9-4AF2-B523-5A9FD52FA147}" srcId="{9ECB1E92-D673-40D4-BC25-4FF8815FE0E1}" destId="{03A77BB5-01A3-4FFA-B289-3D4F4B5C38BC}" srcOrd="0" destOrd="0" parTransId="{73EF9502-81A9-47A8-B881-7F0D0CE64D7B}" sibTransId="{28CE9471-97CD-4DD1-997E-D0A403858D22}"/>
    <dgm:cxn modelId="{59050466-4EDC-4941-9180-7AC9BDE3757A}" type="presOf" srcId="{03A77BB5-01A3-4FFA-B289-3D4F4B5C38BC}" destId="{A8A3B02D-2155-4F82-BD9D-DE7D60C62C49}" srcOrd="0" destOrd="0" presId="urn:microsoft.com/office/officeart/2005/8/layout/list1"/>
    <dgm:cxn modelId="{E41E9132-CA1D-4F83-8A6B-919E48A70217}" type="presOf" srcId="{9ECB1E92-D673-40D4-BC25-4FF8815FE0E1}" destId="{C59DF339-848C-4CF4-961A-4C26CD323B76}" srcOrd="0" destOrd="0" presId="urn:microsoft.com/office/officeart/2005/8/layout/list1"/>
    <dgm:cxn modelId="{48846826-E7DA-48C7-98E6-696228BC5C93}" type="presOf" srcId="{03A77BB5-01A3-4FFA-B289-3D4F4B5C38BC}" destId="{12EB1014-6368-4B8A-9072-AA4488CE4696}" srcOrd="1" destOrd="0" presId="urn:microsoft.com/office/officeart/2005/8/layout/list1"/>
    <dgm:cxn modelId="{450E22EF-B6D7-48F6-B722-EA4E15A45DFA}" type="presParOf" srcId="{C59DF339-848C-4CF4-961A-4C26CD323B76}" destId="{B6821C83-D5D9-4AD7-B237-ECF5B37FF8F0}" srcOrd="0" destOrd="0" presId="urn:microsoft.com/office/officeart/2005/8/layout/list1"/>
    <dgm:cxn modelId="{7A17DD32-913A-4A0D-A24E-A125DC1DF5FF}" type="presParOf" srcId="{B6821C83-D5D9-4AD7-B237-ECF5B37FF8F0}" destId="{A8A3B02D-2155-4F82-BD9D-DE7D60C62C49}" srcOrd="0" destOrd="0" presId="urn:microsoft.com/office/officeart/2005/8/layout/list1"/>
    <dgm:cxn modelId="{006A2EBD-0C47-4416-8735-89B8468B19C5}" type="presParOf" srcId="{B6821C83-D5D9-4AD7-B237-ECF5B37FF8F0}" destId="{12EB1014-6368-4B8A-9072-AA4488CE4696}" srcOrd="1" destOrd="0" presId="urn:microsoft.com/office/officeart/2005/8/layout/list1"/>
    <dgm:cxn modelId="{35817600-0375-41A8-9E23-A004BBBA1F77}" type="presParOf" srcId="{C59DF339-848C-4CF4-961A-4C26CD323B76}" destId="{0FD8CC8D-EB17-430E-9E44-4F38FF5579E6}" srcOrd="1" destOrd="0" presId="urn:microsoft.com/office/officeart/2005/8/layout/list1"/>
    <dgm:cxn modelId="{086A7BA1-3D54-4994-8E51-1EFD06D8D539}" type="presParOf" srcId="{C59DF339-848C-4CF4-961A-4C26CD323B76}" destId="{C304C0F0-E054-476A-824C-1ED16CAF0C93}" srcOrd="2" destOrd="0" presId="urn:microsoft.com/office/officeart/2005/8/layout/list1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4.xml><?xml version="1.0" encoding="utf-8"?>
<dgm:dataModel xmlns:dgm="http://schemas.openxmlformats.org/drawingml/2006/diagram" xmlns:a="http://schemas.openxmlformats.org/drawingml/2006/main">
  <dgm:ptLst>
    <dgm:pt modelId="{9ECB1E92-D673-40D4-BC25-4FF8815FE0E1}" type="doc">
      <dgm:prSet loTypeId="urn:microsoft.com/office/officeart/2005/8/layout/list1" loCatId="list" qsTypeId="urn:microsoft.com/office/officeart/2005/8/quickstyle/simple1" qsCatId="simple" csTypeId="urn:microsoft.com/office/officeart/2005/8/colors/accent1_2" csCatId="accent1" phldr="1"/>
      <dgm:spPr/>
    </dgm:pt>
    <dgm:pt modelId="{03A77BB5-01A3-4FFA-B289-3D4F4B5C38BC}">
      <dgm:prSet phldrT="[Text]" custT="1"/>
      <dgm:spPr/>
      <dgm:t>
        <a:bodyPr/>
        <a:lstStyle/>
        <a:p>
          <a:pPr algn="ctr"/>
          <a:r>
            <a:rPr lang="fa-IR" sz="1700" b="1" cap="all" spc="0">
              <a:ln w="0"/>
              <a:solidFill>
                <a:schemeClr val="accent1">
                  <a:lumMod val="20000"/>
                  <a:lumOff val="80000"/>
                </a:schemeClr>
              </a:solidFill>
              <a:effectLst>
                <a:reflection blurRad="12700" stA="50000" endPos="50000" dist="5000" dir="5400000" sy="-100000" rotWithShape="0"/>
              </a:effectLst>
              <a:cs typeface="B Titr" panose="00000700000000000000" pitchFamily="2" charset="-78"/>
            </a:rPr>
            <a:t>محاسبه حقوق بازنشستگان و موظفین  در سال 1400</a:t>
          </a:r>
          <a:endParaRPr lang="fa-IR" sz="1100" b="1" cap="all" spc="0">
            <a:ln w="0"/>
            <a:solidFill>
              <a:schemeClr val="accent1">
                <a:lumMod val="20000"/>
                <a:lumOff val="80000"/>
              </a:schemeClr>
            </a:solidFill>
            <a:effectLst>
              <a:reflection blurRad="12700" stA="50000" endPos="50000" dist="5000" dir="5400000" sy="-100000" rotWithShape="0"/>
            </a:effectLst>
            <a:cs typeface="B Titr" panose="00000700000000000000" pitchFamily="2" charset="-78"/>
          </a:endParaRPr>
        </a:p>
      </dgm:t>
    </dgm:pt>
    <dgm:pt modelId="{73EF9502-81A9-47A8-B881-7F0D0CE64D7B}" type="parTrans" cxnId="{212873E1-C6A9-4AF2-B523-5A9FD52FA147}">
      <dgm:prSet/>
      <dgm:spPr/>
      <dgm:t>
        <a:bodyPr/>
        <a:lstStyle/>
        <a:p>
          <a:endParaRPr lang="en-US"/>
        </a:p>
      </dgm:t>
    </dgm:pt>
    <dgm:pt modelId="{28CE9471-97CD-4DD1-997E-D0A403858D22}" type="sibTrans" cxnId="{212873E1-C6A9-4AF2-B523-5A9FD52FA147}">
      <dgm:prSet/>
      <dgm:spPr/>
      <dgm:t>
        <a:bodyPr/>
        <a:lstStyle/>
        <a:p>
          <a:endParaRPr lang="en-US"/>
        </a:p>
      </dgm:t>
    </dgm:pt>
    <dgm:pt modelId="{C59DF339-848C-4CF4-961A-4C26CD323B76}" type="pres">
      <dgm:prSet presAssocID="{9ECB1E92-D673-40D4-BC25-4FF8815FE0E1}" presName="linear" presStyleCnt="0">
        <dgm:presLayoutVars>
          <dgm:dir/>
          <dgm:animLvl val="lvl"/>
          <dgm:resizeHandles val="exact"/>
        </dgm:presLayoutVars>
      </dgm:prSet>
      <dgm:spPr/>
    </dgm:pt>
    <dgm:pt modelId="{B6821C83-D5D9-4AD7-B237-ECF5B37FF8F0}" type="pres">
      <dgm:prSet presAssocID="{03A77BB5-01A3-4FFA-B289-3D4F4B5C38BC}" presName="parentLin" presStyleCnt="0"/>
      <dgm:spPr/>
    </dgm:pt>
    <dgm:pt modelId="{A8A3B02D-2155-4F82-BD9D-DE7D60C62C49}" type="pres">
      <dgm:prSet presAssocID="{03A77BB5-01A3-4FFA-B289-3D4F4B5C38BC}" presName="parentLeftMargin" presStyleLbl="node1" presStyleIdx="0" presStyleCnt="1"/>
      <dgm:spPr/>
      <dgm:t>
        <a:bodyPr/>
        <a:lstStyle/>
        <a:p>
          <a:endParaRPr lang="en-US"/>
        </a:p>
      </dgm:t>
    </dgm:pt>
    <dgm:pt modelId="{12EB1014-6368-4B8A-9072-AA4488CE4696}" type="pres">
      <dgm:prSet presAssocID="{03A77BB5-01A3-4FFA-B289-3D4F4B5C38BC}" presName="parentText" presStyleLbl="node1" presStyleIdx="0" presStyleCnt="1" custScaleX="118426" custScaleY="52589" custLinFactNeighborX="64005" custLinFactNeighborY="-763">
        <dgm:presLayoutVars>
          <dgm:chMax val="0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0FD8CC8D-EB17-430E-9E44-4F38FF5579E6}" type="pres">
      <dgm:prSet presAssocID="{03A77BB5-01A3-4FFA-B289-3D4F4B5C38BC}" presName="negativeSpace" presStyleCnt="0"/>
      <dgm:spPr/>
    </dgm:pt>
    <dgm:pt modelId="{C304C0F0-E054-476A-824C-1ED16CAF0C93}" type="pres">
      <dgm:prSet presAssocID="{03A77BB5-01A3-4FFA-B289-3D4F4B5C38BC}" presName="childText" presStyleLbl="conFgAcc1" presStyleIdx="0" presStyleCnt="1" custScaleY="32590" custLinFactNeighborY="15641">
        <dgm:presLayoutVars>
          <dgm:bulletEnabled val="1"/>
        </dgm:presLayoutVars>
      </dgm:prSet>
      <dgm:spPr/>
    </dgm:pt>
  </dgm:ptLst>
  <dgm:cxnLst>
    <dgm:cxn modelId="{212873E1-C6A9-4AF2-B523-5A9FD52FA147}" srcId="{9ECB1E92-D673-40D4-BC25-4FF8815FE0E1}" destId="{03A77BB5-01A3-4FFA-B289-3D4F4B5C38BC}" srcOrd="0" destOrd="0" parTransId="{73EF9502-81A9-47A8-B881-7F0D0CE64D7B}" sibTransId="{28CE9471-97CD-4DD1-997E-D0A403858D22}"/>
    <dgm:cxn modelId="{ACAD8D35-4A15-4C39-9633-40399472B174}" type="presOf" srcId="{03A77BB5-01A3-4FFA-B289-3D4F4B5C38BC}" destId="{12EB1014-6368-4B8A-9072-AA4488CE4696}" srcOrd="1" destOrd="0" presId="urn:microsoft.com/office/officeart/2005/8/layout/list1"/>
    <dgm:cxn modelId="{6FE757D3-E40A-4CF6-845C-A3846046E4BD}" type="presOf" srcId="{9ECB1E92-D673-40D4-BC25-4FF8815FE0E1}" destId="{C59DF339-848C-4CF4-961A-4C26CD323B76}" srcOrd="0" destOrd="0" presId="urn:microsoft.com/office/officeart/2005/8/layout/list1"/>
    <dgm:cxn modelId="{542F60A5-0F32-4CF7-AC12-839E3053E93B}" type="presOf" srcId="{03A77BB5-01A3-4FFA-B289-3D4F4B5C38BC}" destId="{A8A3B02D-2155-4F82-BD9D-DE7D60C62C49}" srcOrd="0" destOrd="0" presId="urn:microsoft.com/office/officeart/2005/8/layout/list1"/>
    <dgm:cxn modelId="{E595A4A4-B010-4457-89E9-AFD19765BDD4}" type="presParOf" srcId="{C59DF339-848C-4CF4-961A-4C26CD323B76}" destId="{B6821C83-D5D9-4AD7-B237-ECF5B37FF8F0}" srcOrd="0" destOrd="0" presId="urn:microsoft.com/office/officeart/2005/8/layout/list1"/>
    <dgm:cxn modelId="{67EA22A9-0DE8-4062-AFA3-3390C70B2673}" type="presParOf" srcId="{B6821C83-D5D9-4AD7-B237-ECF5B37FF8F0}" destId="{A8A3B02D-2155-4F82-BD9D-DE7D60C62C49}" srcOrd="0" destOrd="0" presId="urn:microsoft.com/office/officeart/2005/8/layout/list1"/>
    <dgm:cxn modelId="{5C87A4FC-56CF-4F00-ADD8-AB09B6C82CC4}" type="presParOf" srcId="{B6821C83-D5D9-4AD7-B237-ECF5B37FF8F0}" destId="{12EB1014-6368-4B8A-9072-AA4488CE4696}" srcOrd="1" destOrd="0" presId="urn:microsoft.com/office/officeart/2005/8/layout/list1"/>
    <dgm:cxn modelId="{CD9D6B77-E07C-4256-A5EA-1EC93460FAFC}" type="presParOf" srcId="{C59DF339-848C-4CF4-961A-4C26CD323B76}" destId="{0FD8CC8D-EB17-430E-9E44-4F38FF5579E6}" srcOrd="1" destOrd="0" presId="urn:microsoft.com/office/officeart/2005/8/layout/list1"/>
    <dgm:cxn modelId="{1EB5E85C-C01F-4E2C-B935-93A7AD18681B}" type="presParOf" srcId="{C59DF339-848C-4CF4-961A-4C26CD323B76}" destId="{C304C0F0-E054-476A-824C-1ED16CAF0C93}" srcOrd="2" destOrd="0" presId="urn:microsoft.com/office/officeart/2005/8/layout/list1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C304C0F0-E054-476A-824C-1ED16CAF0C93}">
      <dsp:nvSpPr>
        <dsp:cNvPr id="0" name=""/>
        <dsp:cNvSpPr/>
      </dsp:nvSpPr>
      <dsp:spPr>
        <a:xfrm>
          <a:off x="0" y="941278"/>
          <a:ext cx="8190745" cy="1587600"/>
        </a:xfrm>
        <a:prstGeom prst="rect">
          <a:avLst/>
        </a:prstGeom>
        <a:solidFill>
          <a:schemeClr val="accent1">
            <a:lumMod val="75000"/>
            <a:alpha val="90000"/>
          </a:schemeClr>
        </a:solidFill>
        <a:ln w="254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  <dsp:sp modelId="{12EB1014-6368-4B8A-9072-AA4488CE4696}">
      <dsp:nvSpPr>
        <dsp:cNvPr id="0" name=""/>
        <dsp:cNvSpPr/>
      </dsp:nvSpPr>
      <dsp:spPr>
        <a:xfrm>
          <a:off x="257049" y="74723"/>
          <a:ext cx="7789660" cy="1859760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216713" tIns="0" rIns="216713" bIns="0" numCol="1" spcCol="1270" anchor="ctr" anchorCtr="0">
          <a:noAutofit/>
        </a:bodyPr>
        <a:lstStyle/>
        <a:p>
          <a:pPr lvl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fa-IR" sz="1400" b="1" kern="1200" cap="all" spc="0">
              <a:ln w="0"/>
              <a:solidFill>
                <a:schemeClr val="accent1">
                  <a:lumMod val="20000"/>
                  <a:lumOff val="80000"/>
                </a:schemeClr>
              </a:solidFill>
              <a:effectLst>
                <a:reflection blurRad="12700" stA="50000" endPos="50000" dist="5000" dir="5400000" sy="-100000" rotWithShape="0"/>
              </a:effectLst>
              <a:cs typeface="B Titr" panose="00000700000000000000" pitchFamily="2" charset="-78"/>
            </a:rPr>
            <a:t>محاسبه حقوق کارکنان رسمی ، پیمانی و قرارداد انجام کارمعین  مشمول قانون</a:t>
          </a:r>
          <a:r>
            <a:rPr lang="fa-IR" sz="1400" b="1" kern="1200" cap="all" spc="0" baseline="0">
              <a:ln w="0"/>
              <a:solidFill>
                <a:schemeClr val="accent1">
                  <a:lumMod val="20000"/>
                  <a:lumOff val="80000"/>
                </a:schemeClr>
              </a:solidFill>
              <a:effectLst>
                <a:reflection blurRad="12700" stA="50000" endPos="50000" dist="5000" dir="5400000" sy="-100000" rotWithShape="0"/>
              </a:effectLst>
              <a:cs typeface="B Titr" panose="00000700000000000000" pitchFamily="2" charset="-78"/>
            </a:rPr>
            <a:t> مدیریت خدمات کشوری </a:t>
          </a:r>
        </a:p>
        <a:p>
          <a:pPr lvl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fa-IR" sz="1400" b="1" kern="1200" cap="all" spc="0" baseline="0">
              <a:ln w="0"/>
              <a:solidFill>
                <a:schemeClr val="accent1">
                  <a:lumMod val="20000"/>
                  <a:lumOff val="80000"/>
                </a:schemeClr>
              </a:solidFill>
              <a:effectLst>
                <a:reflection blurRad="12700" stA="50000" endPos="50000" dist="5000" dir="5400000" sy="-100000" rotWithShape="0"/>
              </a:effectLst>
              <a:cs typeface="B Titr" panose="00000700000000000000" pitchFamily="2" charset="-78"/>
            </a:rPr>
            <a:t>و بازنشستگان و موظفین در سال 1400</a:t>
          </a:r>
        </a:p>
        <a:p>
          <a:pPr lvl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fa-IR" sz="900" b="1" kern="1200" cap="all" spc="0">
              <a:ln w="0"/>
              <a:solidFill>
                <a:schemeClr val="accent1">
                  <a:lumMod val="20000"/>
                  <a:lumOff val="80000"/>
                </a:schemeClr>
              </a:solidFill>
              <a:effectLst>
                <a:reflection blurRad="12700" stA="50000" endPos="50000" dist="5000" dir="5400000" sy="-100000" rotWithShape="0"/>
              </a:effectLst>
              <a:cs typeface="B Titr" panose="00000700000000000000" pitchFamily="2" charset="-78"/>
            </a:rPr>
            <a:t>در اجرای تصویب نامه شماره 8013ت / 58708 هـ مورخ 1400/1/29  هیئت محترم وزیران  و اصلاحات آن و نامه شماره 58708/9035 مورخ 1400/1/30</a:t>
          </a:r>
          <a:br>
            <a:rPr lang="fa-IR" sz="900" b="1" kern="1200" cap="all" spc="0">
              <a:ln w="0"/>
              <a:solidFill>
                <a:schemeClr val="accent1">
                  <a:lumMod val="20000"/>
                  <a:lumOff val="80000"/>
                </a:schemeClr>
              </a:solidFill>
              <a:effectLst>
                <a:reflection blurRad="12700" stA="50000" endPos="50000" dist="5000" dir="5400000" sy="-100000" rotWithShape="0"/>
              </a:effectLst>
              <a:cs typeface="B Titr" panose="00000700000000000000" pitchFamily="2" charset="-78"/>
            </a:rPr>
          </a:br>
          <a:r>
            <a:rPr lang="fa-IR" sz="900" b="1" kern="1200" cap="all" spc="0">
              <a:ln w="0"/>
              <a:solidFill>
                <a:schemeClr val="accent1">
                  <a:lumMod val="20000"/>
                  <a:lumOff val="80000"/>
                </a:schemeClr>
              </a:solidFill>
              <a:effectLst>
                <a:reflection blurRad="12700" stA="50000" endPos="50000" dist="5000" dir="5400000" sy="-100000" rotWithShape="0"/>
              </a:effectLst>
              <a:cs typeface="B Titr" panose="00000700000000000000" pitchFamily="2" charset="-78"/>
            </a:rPr>
            <a:t>و بخشنامه شماره 2608 مورخ 1400/1/23 سازمان اداری و استخدامی کشور</a:t>
          </a:r>
        </a:p>
      </dsp:txBody>
      <dsp:txXfrm>
        <a:off x="347835" y="165509"/>
        <a:ext cx="7608088" cy="1678188"/>
      </dsp:txXfrm>
    </dsp:sp>
  </dsp:spTree>
</dsp:drawing>
</file>

<file path=xl/diagrams/drawing2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C304C0F0-E054-476A-824C-1ED16CAF0C93}">
      <dsp:nvSpPr>
        <dsp:cNvPr id="0" name=""/>
        <dsp:cNvSpPr/>
      </dsp:nvSpPr>
      <dsp:spPr>
        <a:xfrm>
          <a:off x="0" y="285748"/>
          <a:ext cx="9827079" cy="533824"/>
        </a:xfrm>
        <a:prstGeom prst="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  <dsp:sp modelId="{12EB1014-6368-4B8A-9072-AA4488CE4696}">
      <dsp:nvSpPr>
        <dsp:cNvPr id="0" name=""/>
        <dsp:cNvSpPr/>
      </dsp:nvSpPr>
      <dsp:spPr>
        <a:xfrm>
          <a:off x="777164" y="0"/>
          <a:ext cx="8146471" cy="1009077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260008" tIns="0" rIns="260008" bIns="0" numCol="1" spcCol="1270" anchor="ctr" anchorCtr="0">
          <a:noAutofit/>
        </a:bodyPr>
        <a:lstStyle/>
        <a:p>
          <a:pPr lvl="0" algn="ctr" defTabSz="7556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fa-IR" sz="1700" b="1" kern="1200" cap="all" spc="0">
              <a:ln w="0"/>
              <a:solidFill>
                <a:schemeClr val="accent1">
                  <a:lumMod val="20000"/>
                  <a:lumOff val="80000"/>
                </a:schemeClr>
              </a:solidFill>
              <a:effectLst>
                <a:reflection blurRad="12700" stA="50000" endPos="50000" dist="5000" dir="5400000" sy="-100000" rotWithShape="0"/>
              </a:effectLst>
              <a:cs typeface="B Titr" panose="00000700000000000000" pitchFamily="2" charset="-78"/>
            </a:rPr>
            <a:t>محاسبه حقوق کارکنان رسمی ، پیمانی در سال 1400</a:t>
          </a:r>
          <a:endParaRPr lang="fa-IR" sz="1100" b="1" kern="1200" cap="all" spc="0">
            <a:ln w="0"/>
            <a:solidFill>
              <a:schemeClr val="accent1">
                <a:lumMod val="20000"/>
                <a:lumOff val="80000"/>
              </a:schemeClr>
            </a:solidFill>
            <a:effectLst>
              <a:reflection blurRad="12700" stA="50000" endPos="50000" dist="5000" dir="5400000" sy="-100000" rotWithShape="0"/>
            </a:effectLst>
            <a:cs typeface="B Titr" panose="00000700000000000000" pitchFamily="2" charset="-78"/>
          </a:endParaRPr>
        </a:p>
      </dsp:txBody>
      <dsp:txXfrm>
        <a:off x="826423" y="49259"/>
        <a:ext cx="8047953" cy="910559"/>
      </dsp:txXfrm>
    </dsp:sp>
  </dsp:spTree>
</dsp:drawing>
</file>

<file path=xl/diagrams/drawing3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C304C0F0-E054-476A-824C-1ED16CAF0C93}">
      <dsp:nvSpPr>
        <dsp:cNvPr id="0" name=""/>
        <dsp:cNvSpPr/>
      </dsp:nvSpPr>
      <dsp:spPr>
        <a:xfrm>
          <a:off x="0" y="347661"/>
          <a:ext cx="8734425" cy="533824"/>
        </a:xfrm>
        <a:prstGeom prst="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  <dsp:sp modelId="{12EB1014-6368-4B8A-9072-AA4488CE4696}">
      <dsp:nvSpPr>
        <dsp:cNvPr id="0" name=""/>
        <dsp:cNvSpPr/>
      </dsp:nvSpPr>
      <dsp:spPr>
        <a:xfrm>
          <a:off x="690753" y="85658"/>
          <a:ext cx="7240681" cy="1009077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231098" tIns="0" rIns="231098" bIns="0" numCol="1" spcCol="1270" anchor="ctr" anchorCtr="0">
          <a:noAutofit/>
        </a:bodyPr>
        <a:lstStyle/>
        <a:p>
          <a:pPr lvl="0" algn="ctr" defTabSz="7556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fa-IR" sz="1700" b="1" kern="1200" cap="all" spc="0">
              <a:ln w="0"/>
              <a:solidFill>
                <a:schemeClr val="accent1">
                  <a:lumMod val="20000"/>
                  <a:lumOff val="80000"/>
                </a:schemeClr>
              </a:solidFill>
              <a:effectLst>
                <a:reflection blurRad="12700" stA="50000" endPos="50000" dist="5000" dir="5400000" sy="-100000" rotWithShape="0"/>
              </a:effectLst>
              <a:cs typeface="B Titr" panose="00000700000000000000" pitchFamily="2" charset="-78"/>
            </a:rPr>
            <a:t>محاسبه حقوق کارکنان قرارداد انجام کارمعین در سال 1400</a:t>
          </a:r>
          <a:endParaRPr lang="fa-IR" sz="1100" b="1" kern="1200" cap="all" spc="0">
            <a:ln w="0"/>
            <a:solidFill>
              <a:schemeClr val="accent1">
                <a:lumMod val="20000"/>
                <a:lumOff val="80000"/>
              </a:schemeClr>
            </a:solidFill>
            <a:effectLst>
              <a:reflection blurRad="12700" stA="50000" endPos="50000" dist="5000" dir="5400000" sy="-100000" rotWithShape="0"/>
            </a:effectLst>
            <a:cs typeface="B Titr" panose="00000700000000000000" pitchFamily="2" charset="-78"/>
          </a:endParaRPr>
        </a:p>
      </dsp:txBody>
      <dsp:txXfrm>
        <a:off x="740012" y="134917"/>
        <a:ext cx="7142163" cy="910559"/>
      </dsp:txXfrm>
    </dsp:sp>
  </dsp:spTree>
</dsp:drawing>
</file>

<file path=xl/diagrams/drawing4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C304C0F0-E054-476A-824C-1ED16CAF0C93}">
      <dsp:nvSpPr>
        <dsp:cNvPr id="0" name=""/>
        <dsp:cNvSpPr/>
      </dsp:nvSpPr>
      <dsp:spPr>
        <a:xfrm>
          <a:off x="0" y="433386"/>
          <a:ext cx="9791700" cy="533824"/>
        </a:xfrm>
        <a:prstGeom prst="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  <dsp:sp modelId="{12EB1014-6368-4B8A-9072-AA4488CE4696}">
      <dsp:nvSpPr>
        <dsp:cNvPr id="0" name=""/>
        <dsp:cNvSpPr/>
      </dsp:nvSpPr>
      <dsp:spPr>
        <a:xfrm>
          <a:off x="802943" y="219008"/>
          <a:ext cx="8117143" cy="1009077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259072" tIns="0" rIns="259072" bIns="0" numCol="1" spcCol="1270" anchor="ctr" anchorCtr="0">
          <a:noAutofit/>
        </a:bodyPr>
        <a:lstStyle/>
        <a:p>
          <a:pPr lvl="0" algn="ctr" defTabSz="7556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fa-IR" sz="1700" b="1" kern="1200" cap="all" spc="0">
              <a:ln w="0"/>
              <a:solidFill>
                <a:schemeClr val="accent1">
                  <a:lumMod val="20000"/>
                  <a:lumOff val="80000"/>
                </a:schemeClr>
              </a:solidFill>
              <a:effectLst>
                <a:reflection blurRad="12700" stA="50000" endPos="50000" dist="5000" dir="5400000" sy="-100000" rotWithShape="0"/>
              </a:effectLst>
              <a:cs typeface="B Titr" panose="00000700000000000000" pitchFamily="2" charset="-78"/>
            </a:rPr>
            <a:t>محاسبه حقوق بازنشستگان و موظفین  در سال 1400</a:t>
          </a:r>
          <a:endParaRPr lang="fa-IR" sz="1100" b="1" kern="1200" cap="all" spc="0">
            <a:ln w="0"/>
            <a:solidFill>
              <a:schemeClr val="accent1">
                <a:lumMod val="20000"/>
                <a:lumOff val="80000"/>
              </a:schemeClr>
            </a:solidFill>
            <a:effectLst>
              <a:reflection blurRad="12700" stA="50000" endPos="50000" dist="5000" dir="5400000" sy="-100000" rotWithShape="0"/>
            </a:effectLst>
            <a:cs typeface="B Titr" panose="00000700000000000000" pitchFamily="2" charset="-78"/>
          </a:endParaRPr>
        </a:p>
      </dsp:txBody>
      <dsp:txXfrm>
        <a:off x="852202" y="268267"/>
        <a:ext cx="8018625" cy="910559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list1">
  <dgm:title val=""/>
  <dgm:desc val=""/>
  <dgm:catLst>
    <dgm:cat type="list" pri="4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3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4" srcId="0" destId="1" srcOrd="0" destOrd="0"/>
        <dgm:cxn modelId="5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linear">
    <dgm:varLst>
      <dgm:dir/>
      <dgm:animLvl val="lvl"/>
      <dgm:resizeHandles val="exact"/>
    </dgm:varLst>
    <dgm:choose name="Name0">
      <dgm:if name="Name1" func="var" arg="dir" op="equ" val="norm">
        <dgm:alg type="lin">
          <dgm:param type="linDir" val="fromT"/>
          <dgm:param type="vertAlign" val="mid"/>
          <dgm:param type="horzAlign" val="l"/>
          <dgm:param type="nodeHorzAlign" val="l"/>
        </dgm:alg>
      </dgm:if>
      <dgm:else name="Name2">
        <dgm:alg type="lin">
          <dgm:param type="linDir" val="fromT"/>
          <dgm:param type="vertAlign" val="mid"/>
          <dgm:param type="horzAlign" val="r"/>
          <dgm:param type="nodeHorzAlign" val="r"/>
        </dgm:alg>
      </dgm:else>
    </dgm:choose>
    <dgm:shape xmlns:r="http://schemas.openxmlformats.org/officeDocument/2006/relationships" r:blip="">
      <dgm:adjLst/>
    </dgm:shape>
    <dgm:presOf/>
    <dgm:constrLst>
      <dgm:constr type="w" for="ch" forName="parentLin" refType="w"/>
      <dgm:constr type="h" for="ch" forName="parentLin" val="INF"/>
      <dgm:constr type="w" for="des" forName="parentLeftMargin" refType="w" fact="0.05"/>
      <dgm:constr type="w" for="des" forName="parentText" refType="w" fact="0.7"/>
      <dgm:constr type="h" for="des" forName="parentText" refType="primFontSz" refFor="des" refForName="parentText" fact="0.82"/>
      <dgm:constr type="h" for="ch" forName="negativeSpace" refType="primFontSz" refFor="des" refForName="parentText" fact="-0.41"/>
      <dgm:constr type="h" for="ch" forName="negativeSpace" refType="h" refFor="des" refForName="parentText" op="lte" fact="-0.82"/>
      <dgm:constr type="h" for="ch" forName="negativeSpace" refType="h" refFor="des" refForName="parentText" op="gte" fact="-0.82"/>
      <dgm:constr type="w" for="ch" forName="childText" refType="w"/>
      <dgm:constr type="h" for="ch" forName="childText" refType="primFontSz" refFor="des" refForName="parentText" fact="0.7"/>
      <dgm:constr type="primFontSz" for="des" forName="parentText" val="65"/>
      <dgm:constr type="primFontSz" for="ch" forName="childText" refType="primFontSz" refFor="des" refForName="parentText"/>
      <dgm:constr type="tMarg" for="ch" forName="childText" refType="primFontSz" refFor="des" refForName="parentText" fact="1.64"/>
      <dgm:constr type="tMarg" for="ch" forName="childText" refType="h" refFor="des" refForName="parentText" op="lte" fact="3.28"/>
      <dgm:constr type="tMarg" for="ch" forName="childText" refType="h" refFor="des" refForName="parentText" op="gte" fact="3.28"/>
      <dgm:constr type="lMarg" for="ch" forName="childText" refType="w" fact="0.22"/>
      <dgm:constr type="rMarg" for="ch" forName="childText" refType="lMarg" refFor="ch" refForName="childText"/>
      <dgm:constr type="lMarg" for="des" forName="parentText" refType="w" fact="0.075"/>
      <dgm:constr type="rMarg" for="des" forName="parentText" refType="lMarg" refFor="des" refForName="parentText"/>
      <dgm:constr type="h" for="ch" forName="spaceBetweenRectangles" refType="primFontSz" refFor="des" refForName="parentText" fact="0.15"/>
    </dgm:constrLst>
    <dgm:ruleLst>
      <dgm:rule type="primFontSz" for="des" forName="parentText" val="5" fact="NaN" max="NaN"/>
    </dgm:ruleLst>
    <dgm:forEach name="Name3" axis="ch" ptType="node">
      <dgm:layoutNode name="parentLin">
        <dgm:choose name="Name4">
          <dgm:if name="Name5" func="var" arg="dir" op="equ" val="norm">
            <dgm:alg type="lin">
              <dgm:param type="linDir" val="fromL"/>
              <dgm:param type="horzAlign" val="l"/>
              <dgm:param type="nodeHorzAlign" val="l"/>
            </dgm:alg>
          </dgm:if>
          <dgm:else name="Name6">
            <dgm:alg type="lin">
              <dgm:param type="linDir" val="fromR"/>
              <dgm:param type="horzAlign" val="r"/>
              <dgm:param type="nodeHorzAlign" val="r"/>
            </dgm:alg>
          </dgm:else>
        </dgm:choose>
        <dgm:shape xmlns:r="http://schemas.openxmlformats.org/officeDocument/2006/relationships" r:blip="">
          <dgm:adjLst/>
        </dgm:shape>
        <dgm:presOf/>
        <dgm:constrLst/>
        <dgm:ruleLst/>
        <dgm:layoutNode name="parentLeftMargin">
          <dgm:alg type="sp"/>
          <dgm:shape xmlns:r="http://schemas.openxmlformats.org/officeDocument/2006/relationships" type="rect" r:blip="" hideGeom="1">
            <dgm:adjLst/>
          </dgm:shape>
          <dgm:presOf axis="self"/>
          <dgm:constrLst>
            <dgm:constr type="h"/>
          </dgm:constrLst>
          <dgm:ruleLst/>
        </dgm:layoutNode>
        <dgm:layoutNode name="parentText" styleLbl="node1">
          <dgm:varLst>
            <dgm:chMax val="0"/>
            <dgm:bulletEnabled val="1"/>
          </dgm:varLst>
          <dgm:choose name="Name7">
            <dgm:if name="Name8" func="var" arg="dir" op="equ" val="norm">
              <dgm:alg type="tx">
                <dgm:param type="parTxLTRAlign" val="l"/>
                <dgm:param type="parTxRTLAlign" val="l"/>
              </dgm:alg>
            </dgm:if>
            <dgm:else name="Name9">
              <dgm:alg type="tx">
                <dgm:param type="parTxLTRAlign" val="r"/>
                <dgm:param type="parTxRTLAlign" val="r"/>
              </dgm:alg>
            </dgm:else>
          </dgm:choose>
          <dgm:shape xmlns:r="http://schemas.openxmlformats.org/officeDocument/2006/relationships" type="roundRect" r:blip="">
            <dgm:adjLst/>
          </dgm:shape>
          <dgm:presOf axis="self" ptType="node"/>
          <dgm:constrLst>
            <dgm:constr type="tMarg"/>
            <dgm:constr type="bMarg"/>
          </dgm:constrLst>
          <dgm:ruleLst/>
        </dgm:layoutNode>
      </dgm:layoutNode>
      <dgm:layoutNode name="negativeSpace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childText" styleLbl="conFgAcc1">
        <dgm:varLst>
          <dgm:bulletEnabled val="1"/>
        </dgm:varLst>
        <dgm:alg type="tx">
          <dgm:param type="stBulletLvl" val="1"/>
        </dgm:alg>
        <dgm:shape xmlns:r="http://schemas.openxmlformats.org/officeDocument/2006/relationships" type="rect" r:blip="" zOrderOff="-2">
          <dgm:adjLst/>
        </dgm:shape>
        <dgm:presOf axis="des" ptType="node"/>
        <dgm:constrLst>
          <dgm:constr type="secFontSz" refType="primFontSz"/>
        </dgm:constrLst>
        <dgm:ruleLst>
          <dgm:rule type="h" val="INF" fact="NaN" max="NaN"/>
        </dgm:ruleLst>
      </dgm:layoutNode>
      <dgm:forEach name="Name10" axis="followSib" ptType="sibTrans" cnt="1">
        <dgm:layoutNode name="spaceBetweenRectangles">
          <dgm:alg type="sp"/>
          <dgm:shape xmlns:r="http://schemas.openxmlformats.org/officeDocument/2006/relationships" r:blip="">
            <dgm:adjLst/>
          </dgm:shape>
          <dgm:presOf/>
          <dgm:constrLst/>
          <dgm:ruleLst/>
        </dgm:layoutNode>
      </dgm:forEach>
    </dgm:forEach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5/8/layout/list1">
  <dgm:title val=""/>
  <dgm:desc val=""/>
  <dgm:catLst>
    <dgm:cat type="list" pri="4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3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4" srcId="0" destId="1" srcOrd="0" destOrd="0"/>
        <dgm:cxn modelId="5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linear">
    <dgm:varLst>
      <dgm:dir/>
      <dgm:animLvl val="lvl"/>
      <dgm:resizeHandles val="exact"/>
    </dgm:varLst>
    <dgm:choose name="Name0">
      <dgm:if name="Name1" func="var" arg="dir" op="equ" val="norm">
        <dgm:alg type="lin">
          <dgm:param type="linDir" val="fromT"/>
          <dgm:param type="vertAlign" val="mid"/>
          <dgm:param type="horzAlign" val="l"/>
          <dgm:param type="nodeHorzAlign" val="l"/>
        </dgm:alg>
      </dgm:if>
      <dgm:else name="Name2">
        <dgm:alg type="lin">
          <dgm:param type="linDir" val="fromT"/>
          <dgm:param type="vertAlign" val="mid"/>
          <dgm:param type="horzAlign" val="r"/>
          <dgm:param type="nodeHorzAlign" val="r"/>
        </dgm:alg>
      </dgm:else>
    </dgm:choose>
    <dgm:shape xmlns:r="http://schemas.openxmlformats.org/officeDocument/2006/relationships" r:blip="">
      <dgm:adjLst/>
    </dgm:shape>
    <dgm:presOf/>
    <dgm:constrLst>
      <dgm:constr type="w" for="ch" forName="parentLin" refType="w"/>
      <dgm:constr type="h" for="ch" forName="parentLin" val="INF"/>
      <dgm:constr type="w" for="des" forName="parentLeftMargin" refType="w" fact="0.05"/>
      <dgm:constr type="w" for="des" forName="parentText" refType="w" fact="0.7"/>
      <dgm:constr type="h" for="des" forName="parentText" refType="primFontSz" refFor="des" refForName="parentText" fact="0.82"/>
      <dgm:constr type="h" for="ch" forName="negativeSpace" refType="primFontSz" refFor="des" refForName="parentText" fact="-0.41"/>
      <dgm:constr type="h" for="ch" forName="negativeSpace" refType="h" refFor="des" refForName="parentText" op="lte" fact="-0.82"/>
      <dgm:constr type="h" for="ch" forName="negativeSpace" refType="h" refFor="des" refForName="parentText" op="gte" fact="-0.82"/>
      <dgm:constr type="w" for="ch" forName="childText" refType="w"/>
      <dgm:constr type="h" for="ch" forName="childText" refType="primFontSz" refFor="des" refForName="parentText" fact="0.7"/>
      <dgm:constr type="primFontSz" for="des" forName="parentText" val="65"/>
      <dgm:constr type="primFontSz" for="ch" forName="childText" refType="primFontSz" refFor="des" refForName="parentText"/>
      <dgm:constr type="tMarg" for="ch" forName="childText" refType="primFontSz" refFor="des" refForName="parentText" fact="1.64"/>
      <dgm:constr type="tMarg" for="ch" forName="childText" refType="h" refFor="des" refForName="parentText" op="lte" fact="3.28"/>
      <dgm:constr type="tMarg" for="ch" forName="childText" refType="h" refFor="des" refForName="parentText" op="gte" fact="3.28"/>
      <dgm:constr type="lMarg" for="ch" forName="childText" refType="w" fact="0.22"/>
      <dgm:constr type="rMarg" for="ch" forName="childText" refType="lMarg" refFor="ch" refForName="childText"/>
      <dgm:constr type="lMarg" for="des" forName="parentText" refType="w" fact="0.075"/>
      <dgm:constr type="rMarg" for="des" forName="parentText" refType="lMarg" refFor="des" refForName="parentText"/>
      <dgm:constr type="h" for="ch" forName="spaceBetweenRectangles" refType="primFontSz" refFor="des" refForName="parentText" fact="0.15"/>
    </dgm:constrLst>
    <dgm:ruleLst>
      <dgm:rule type="primFontSz" for="des" forName="parentText" val="5" fact="NaN" max="NaN"/>
    </dgm:ruleLst>
    <dgm:forEach name="Name3" axis="ch" ptType="node">
      <dgm:layoutNode name="parentLin">
        <dgm:choose name="Name4">
          <dgm:if name="Name5" func="var" arg="dir" op="equ" val="norm">
            <dgm:alg type="lin">
              <dgm:param type="linDir" val="fromL"/>
              <dgm:param type="horzAlign" val="l"/>
              <dgm:param type="nodeHorzAlign" val="l"/>
            </dgm:alg>
          </dgm:if>
          <dgm:else name="Name6">
            <dgm:alg type="lin">
              <dgm:param type="linDir" val="fromR"/>
              <dgm:param type="horzAlign" val="r"/>
              <dgm:param type="nodeHorzAlign" val="r"/>
            </dgm:alg>
          </dgm:else>
        </dgm:choose>
        <dgm:shape xmlns:r="http://schemas.openxmlformats.org/officeDocument/2006/relationships" r:blip="">
          <dgm:adjLst/>
        </dgm:shape>
        <dgm:presOf/>
        <dgm:constrLst/>
        <dgm:ruleLst/>
        <dgm:layoutNode name="parentLeftMargin">
          <dgm:alg type="sp"/>
          <dgm:shape xmlns:r="http://schemas.openxmlformats.org/officeDocument/2006/relationships" type="rect" r:blip="" hideGeom="1">
            <dgm:adjLst/>
          </dgm:shape>
          <dgm:presOf axis="self"/>
          <dgm:constrLst>
            <dgm:constr type="h"/>
          </dgm:constrLst>
          <dgm:ruleLst/>
        </dgm:layoutNode>
        <dgm:layoutNode name="parentText" styleLbl="node1">
          <dgm:varLst>
            <dgm:chMax val="0"/>
            <dgm:bulletEnabled val="1"/>
          </dgm:varLst>
          <dgm:choose name="Name7">
            <dgm:if name="Name8" func="var" arg="dir" op="equ" val="norm">
              <dgm:alg type="tx">
                <dgm:param type="parTxLTRAlign" val="l"/>
                <dgm:param type="parTxRTLAlign" val="l"/>
              </dgm:alg>
            </dgm:if>
            <dgm:else name="Name9">
              <dgm:alg type="tx">
                <dgm:param type="parTxLTRAlign" val="r"/>
                <dgm:param type="parTxRTLAlign" val="r"/>
              </dgm:alg>
            </dgm:else>
          </dgm:choose>
          <dgm:shape xmlns:r="http://schemas.openxmlformats.org/officeDocument/2006/relationships" type="roundRect" r:blip="">
            <dgm:adjLst/>
          </dgm:shape>
          <dgm:presOf axis="self" ptType="node"/>
          <dgm:constrLst>
            <dgm:constr type="tMarg"/>
            <dgm:constr type="bMarg"/>
          </dgm:constrLst>
          <dgm:ruleLst/>
        </dgm:layoutNode>
      </dgm:layoutNode>
      <dgm:layoutNode name="negativeSpace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childText" styleLbl="conFgAcc1">
        <dgm:varLst>
          <dgm:bulletEnabled val="1"/>
        </dgm:varLst>
        <dgm:alg type="tx">
          <dgm:param type="stBulletLvl" val="1"/>
        </dgm:alg>
        <dgm:shape xmlns:r="http://schemas.openxmlformats.org/officeDocument/2006/relationships" type="rect" r:blip="" zOrderOff="-2">
          <dgm:adjLst/>
        </dgm:shape>
        <dgm:presOf axis="des" ptType="node"/>
        <dgm:constrLst>
          <dgm:constr type="secFontSz" refType="primFontSz"/>
        </dgm:constrLst>
        <dgm:ruleLst>
          <dgm:rule type="h" val="INF" fact="NaN" max="NaN"/>
        </dgm:ruleLst>
      </dgm:layoutNode>
      <dgm:forEach name="Name10" axis="followSib" ptType="sibTrans" cnt="1">
        <dgm:layoutNode name="spaceBetweenRectangles">
          <dgm:alg type="sp"/>
          <dgm:shape xmlns:r="http://schemas.openxmlformats.org/officeDocument/2006/relationships" r:blip="">
            <dgm:adjLst/>
          </dgm:shape>
          <dgm:presOf/>
          <dgm:constrLst/>
          <dgm:ruleLst/>
        </dgm:layoutNode>
      </dgm:forEach>
    </dgm:forEach>
  </dgm:layoutNode>
</dgm:layoutDef>
</file>

<file path=xl/diagrams/layout3.xml><?xml version="1.0" encoding="utf-8"?>
<dgm:layoutDef xmlns:dgm="http://schemas.openxmlformats.org/drawingml/2006/diagram" xmlns:a="http://schemas.openxmlformats.org/drawingml/2006/main" uniqueId="urn:microsoft.com/office/officeart/2005/8/layout/list1">
  <dgm:title val=""/>
  <dgm:desc val=""/>
  <dgm:catLst>
    <dgm:cat type="list" pri="4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3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4" srcId="0" destId="1" srcOrd="0" destOrd="0"/>
        <dgm:cxn modelId="5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linear">
    <dgm:varLst>
      <dgm:dir/>
      <dgm:animLvl val="lvl"/>
      <dgm:resizeHandles val="exact"/>
    </dgm:varLst>
    <dgm:choose name="Name0">
      <dgm:if name="Name1" func="var" arg="dir" op="equ" val="norm">
        <dgm:alg type="lin">
          <dgm:param type="linDir" val="fromT"/>
          <dgm:param type="vertAlign" val="mid"/>
          <dgm:param type="horzAlign" val="l"/>
          <dgm:param type="nodeHorzAlign" val="l"/>
        </dgm:alg>
      </dgm:if>
      <dgm:else name="Name2">
        <dgm:alg type="lin">
          <dgm:param type="linDir" val="fromT"/>
          <dgm:param type="vertAlign" val="mid"/>
          <dgm:param type="horzAlign" val="r"/>
          <dgm:param type="nodeHorzAlign" val="r"/>
        </dgm:alg>
      </dgm:else>
    </dgm:choose>
    <dgm:shape xmlns:r="http://schemas.openxmlformats.org/officeDocument/2006/relationships" r:blip="">
      <dgm:adjLst/>
    </dgm:shape>
    <dgm:presOf/>
    <dgm:constrLst>
      <dgm:constr type="w" for="ch" forName="parentLin" refType="w"/>
      <dgm:constr type="h" for="ch" forName="parentLin" val="INF"/>
      <dgm:constr type="w" for="des" forName="parentLeftMargin" refType="w" fact="0.05"/>
      <dgm:constr type="w" for="des" forName="parentText" refType="w" fact="0.7"/>
      <dgm:constr type="h" for="des" forName="parentText" refType="primFontSz" refFor="des" refForName="parentText" fact="0.82"/>
      <dgm:constr type="h" for="ch" forName="negativeSpace" refType="primFontSz" refFor="des" refForName="parentText" fact="-0.41"/>
      <dgm:constr type="h" for="ch" forName="negativeSpace" refType="h" refFor="des" refForName="parentText" op="lte" fact="-0.82"/>
      <dgm:constr type="h" for="ch" forName="negativeSpace" refType="h" refFor="des" refForName="parentText" op="gte" fact="-0.82"/>
      <dgm:constr type="w" for="ch" forName="childText" refType="w"/>
      <dgm:constr type="h" for="ch" forName="childText" refType="primFontSz" refFor="des" refForName="parentText" fact="0.7"/>
      <dgm:constr type="primFontSz" for="des" forName="parentText" val="65"/>
      <dgm:constr type="primFontSz" for="ch" forName="childText" refType="primFontSz" refFor="des" refForName="parentText"/>
      <dgm:constr type="tMarg" for="ch" forName="childText" refType="primFontSz" refFor="des" refForName="parentText" fact="1.64"/>
      <dgm:constr type="tMarg" for="ch" forName="childText" refType="h" refFor="des" refForName="parentText" op="lte" fact="3.28"/>
      <dgm:constr type="tMarg" for="ch" forName="childText" refType="h" refFor="des" refForName="parentText" op="gte" fact="3.28"/>
      <dgm:constr type="lMarg" for="ch" forName="childText" refType="w" fact="0.22"/>
      <dgm:constr type="rMarg" for="ch" forName="childText" refType="lMarg" refFor="ch" refForName="childText"/>
      <dgm:constr type="lMarg" for="des" forName="parentText" refType="w" fact="0.075"/>
      <dgm:constr type="rMarg" for="des" forName="parentText" refType="lMarg" refFor="des" refForName="parentText"/>
      <dgm:constr type="h" for="ch" forName="spaceBetweenRectangles" refType="primFontSz" refFor="des" refForName="parentText" fact="0.15"/>
    </dgm:constrLst>
    <dgm:ruleLst>
      <dgm:rule type="primFontSz" for="des" forName="parentText" val="5" fact="NaN" max="NaN"/>
    </dgm:ruleLst>
    <dgm:forEach name="Name3" axis="ch" ptType="node">
      <dgm:layoutNode name="parentLin">
        <dgm:choose name="Name4">
          <dgm:if name="Name5" func="var" arg="dir" op="equ" val="norm">
            <dgm:alg type="lin">
              <dgm:param type="linDir" val="fromL"/>
              <dgm:param type="horzAlign" val="l"/>
              <dgm:param type="nodeHorzAlign" val="l"/>
            </dgm:alg>
          </dgm:if>
          <dgm:else name="Name6">
            <dgm:alg type="lin">
              <dgm:param type="linDir" val="fromR"/>
              <dgm:param type="horzAlign" val="r"/>
              <dgm:param type="nodeHorzAlign" val="r"/>
            </dgm:alg>
          </dgm:else>
        </dgm:choose>
        <dgm:shape xmlns:r="http://schemas.openxmlformats.org/officeDocument/2006/relationships" r:blip="">
          <dgm:adjLst/>
        </dgm:shape>
        <dgm:presOf/>
        <dgm:constrLst/>
        <dgm:ruleLst/>
        <dgm:layoutNode name="parentLeftMargin">
          <dgm:alg type="sp"/>
          <dgm:shape xmlns:r="http://schemas.openxmlformats.org/officeDocument/2006/relationships" type="rect" r:blip="" hideGeom="1">
            <dgm:adjLst/>
          </dgm:shape>
          <dgm:presOf axis="self"/>
          <dgm:constrLst>
            <dgm:constr type="h"/>
          </dgm:constrLst>
          <dgm:ruleLst/>
        </dgm:layoutNode>
        <dgm:layoutNode name="parentText" styleLbl="node1">
          <dgm:varLst>
            <dgm:chMax val="0"/>
            <dgm:bulletEnabled val="1"/>
          </dgm:varLst>
          <dgm:choose name="Name7">
            <dgm:if name="Name8" func="var" arg="dir" op="equ" val="norm">
              <dgm:alg type="tx">
                <dgm:param type="parTxLTRAlign" val="l"/>
                <dgm:param type="parTxRTLAlign" val="l"/>
              </dgm:alg>
            </dgm:if>
            <dgm:else name="Name9">
              <dgm:alg type="tx">
                <dgm:param type="parTxLTRAlign" val="r"/>
                <dgm:param type="parTxRTLAlign" val="r"/>
              </dgm:alg>
            </dgm:else>
          </dgm:choose>
          <dgm:shape xmlns:r="http://schemas.openxmlformats.org/officeDocument/2006/relationships" type="roundRect" r:blip="">
            <dgm:adjLst/>
          </dgm:shape>
          <dgm:presOf axis="self" ptType="node"/>
          <dgm:constrLst>
            <dgm:constr type="tMarg"/>
            <dgm:constr type="bMarg"/>
          </dgm:constrLst>
          <dgm:ruleLst/>
        </dgm:layoutNode>
      </dgm:layoutNode>
      <dgm:layoutNode name="negativeSpace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childText" styleLbl="conFgAcc1">
        <dgm:varLst>
          <dgm:bulletEnabled val="1"/>
        </dgm:varLst>
        <dgm:alg type="tx">
          <dgm:param type="stBulletLvl" val="1"/>
        </dgm:alg>
        <dgm:shape xmlns:r="http://schemas.openxmlformats.org/officeDocument/2006/relationships" type="rect" r:blip="" zOrderOff="-2">
          <dgm:adjLst/>
        </dgm:shape>
        <dgm:presOf axis="des" ptType="node"/>
        <dgm:constrLst>
          <dgm:constr type="secFontSz" refType="primFontSz"/>
        </dgm:constrLst>
        <dgm:ruleLst>
          <dgm:rule type="h" val="INF" fact="NaN" max="NaN"/>
        </dgm:ruleLst>
      </dgm:layoutNode>
      <dgm:forEach name="Name10" axis="followSib" ptType="sibTrans" cnt="1">
        <dgm:layoutNode name="spaceBetweenRectangles">
          <dgm:alg type="sp"/>
          <dgm:shape xmlns:r="http://schemas.openxmlformats.org/officeDocument/2006/relationships" r:blip="">
            <dgm:adjLst/>
          </dgm:shape>
          <dgm:presOf/>
          <dgm:constrLst/>
          <dgm:ruleLst/>
        </dgm:layoutNode>
      </dgm:forEach>
    </dgm:forEach>
  </dgm:layoutNode>
</dgm:layoutDef>
</file>

<file path=xl/diagrams/layout4.xml><?xml version="1.0" encoding="utf-8"?>
<dgm:layoutDef xmlns:dgm="http://schemas.openxmlformats.org/drawingml/2006/diagram" xmlns:a="http://schemas.openxmlformats.org/drawingml/2006/main" uniqueId="urn:microsoft.com/office/officeart/2005/8/layout/list1">
  <dgm:title val=""/>
  <dgm:desc val=""/>
  <dgm:catLst>
    <dgm:cat type="list" pri="4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3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4" srcId="0" destId="1" srcOrd="0" destOrd="0"/>
        <dgm:cxn modelId="5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linear">
    <dgm:varLst>
      <dgm:dir/>
      <dgm:animLvl val="lvl"/>
      <dgm:resizeHandles val="exact"/>
    </dgm:varLst>
    <dgm:choose name="Name0">
      <dgm:if name="Name1" func="var" arg="dir" op="equ" val="norm">
        <dgm:alg type="lin">
          <dgm:param type="linDir" val="fromT"/>
          <dgm:param type="vertAlign" val="mid"/>
          <dgm:param type="horzAlign" val="l"/>
          <dgm:param type="nodeHorzAlign" val="l"/>
        </dgm:alg>
      </dgm:if>
      <dgm:else name="Name2">
        <dgm:alg type="lin">
          <dgm:param type="linDir" val="fromT"/>
          <dgm:param type="vertAlign" val="mid"/>
          <dgm:param type="horzAlign" val="r"/>
          <dgm:param type="nodeHorzAlign" val="r"/>
        </dgm:alg>
      </dgm:else>
    </dgm:choose>
    <dgm:shape xmlns:r="http://schemas.openxmlformats.org/officeDocument/2006/relationships" r:blip="">
      <dgm:adjLst/>
    </dgm:shape>
    <dgm:presOf/>
    <dgm:constrLst>
      <dgm:constr type="w" for="ch" forName="parentLin" refType="w"/>
      <dgm:constr type="h" for="ch" forName="parentLin" val="INF"/>
      <dgm:constr type="w" for="des" forName="parentLeftMargin" refType="w" fact="0.05"/>
      <dgm:constr type="w" for="des" forName="parentText" refType="w" fact="0.7"/>
      <dgm:constr type="h" for="des" forName="parentText" refType="primFontSz" refFor="des" refForName="parentText" fact="0.82"/>
      <dgm:constr type="h" for="ch" forName="negativeSpace" refType="primFontSz" refFor="des" refForName="parentText" fact="-0.41"/>
      <dgm:constr type="h" for="ch" forName="negativeSpace" refType="h" refFor="des" refForName="parentText" op="lte" fact="-0.82"/>
      <dgm:constr type="h" for="ch" forName="negativeSpace" refType="h" refFor="des" refForName="parentText" op="gte" fact="-0.82"/>
      <dgm:constr type="w" for="ch" forName="childText" refType="w"/>
      <dgm:constr type="h" for="ch" forName="childText" refType="primFontSz" refFor="des" refForName="parentText" fact="0.7"/>
      <dgm:constr type="primFontSz" for="des" forName="parentText" val="65"/>
      <dgm:constr type="primFontSz" for="ch" forName="childText" refType="primFontSz" refFor="des" refForName="parentText"/>
      <dgm:constr type="tMarg" for="ch" forName="childText" refType="primFontSz" refFor="des" refForName="parentText" fact="1.64"/>
      <dgm:constr type="tMarg" for="ch" forName="childText" refType="h" refFor="des" refForName="parentText" op="lte" fact="3.28"/>
      <dgm:constr type="tMarg" for="ch" forName="childText" refType="h" refFor="des" refForName="parentText" op="gte" fact="3.28"/>
      <dgm:constr type="lMarg" for="ch" forName="childText" refType="w" fact="0.22"/>
      <dgm:constr type="rMarg" for="ch" forName="childText" refType="lMarg" refFor="ch" refForName="childText"/>
      <dgm:constr type="lMarg" for="des" forName="parentText" refType="w" fact="0.075"/>
      <dgm:constr type="rMarg" for="des" forName="parentText" refType="lMarg" refFor="des" refForName="parentText"/>
      <dgm:constr type="h" for="ch" forName="spaceBetweenRectangles" refType="primFontSz" refFor="des" refForName="parentText" fact="0.15"/>
    </dgm:constrLst>
    <dgm:ruleLst>
      <dgm:rule type="primFontSz" for="des" forName="parentText" val="5" fact="NaN" max="NaN"/>
    </dgm:ruleLst>
    <dgm:forEach name="Name3" axis="ch" ptType="node">
      <dgm:layoutNode name="parentLin">
        <dgm:choose name="Name4">
          <dgm:if name="Name5" func="var" arg="dir" op="equ" val="norm">
            <dgm:alg type="lin">
              <dgm:param type="linDir" val="fromL"/>
              <dgm:param type="horzAlign" val="l"/>
              <dgm:param type="nodeHorzAlign" val="l"/>
            </dgm:alg>
          </dgm:if>
          <dgm:else name="Name6">
            <dgm:alg type="lin">
              <dgm:param type="linDir" val="fromR"/>
              <dgm:param type="horzAlign" val="r"/>
              <dgm:param type="nodeHorzAlign" val="r"/>
            </dgm:alg>
          </dgm:else>
        </dgm:choose>
        <dgm:shape xmlns:r="http://schemas.openxmlformats.org/officeDocument/2006/relationships" r:blip="">
          <dgm:adjLst/>
        </dgm:shape>
        <dgm:presOf/>
        <dgm:constrLst/>
        <dgm:ruleLst/>
        <dgm:layoutNode name="parentLeftMargin">
          <dgm:alg type="sp"/>
          <dgm:shape xmlns:r="http://schemas.openxmlformats.org/officeDocument/2006/relationships" type="rect" r:blip="" hideGeom="1">
            <dgm:adjLst/>
          </dgm:shape>
          <dgm:presOf axis="self"/>
          <dgm:constrLst>
            <dgm:constr type="h"/>
          </dgm:constrLst>
          <dgm:ruleLst/>
        </dgm:layoutNode>
        <dgm:layoutNode name="parentText" styleLbl="node1">
          <dgm:varLst>
            <dgm:chMax val="0"/>
            <dgm:bulletEnabled val="1"/>
          </dgm:varLst>
          <dgm:choose name="Name7">
            <dgm:if name="Name8" func="var" arg="dir" op="equ" val="norm">
              <dgm:alg type="tx">
                <dgm:param type="parTxLTRAlign" val="l"/>
                <dgm:param type="parTxRTLAlign" val="l"/>
              </dgm:alg>
            </dgm:if>
            <dgm:else name="Name9">
              <dgm:alg type="tx">
                <dgm:param type="parTxLTRAlign" val="r"/>
                <dgm:param type="parTxRTLAlign" val="r"/>
              </dgm:alg>
            </dgm:else>
          </dgm:choose>
          <dgm:shape xmlns:r="http://schemas.openxmlformats.org/officeDocument/2006/relationships" type="roundRect" r:blip="">
            <dgm:adjLst/>
          </dgm:shape>
          <dgm:presOf axis="self" ptType="node"/>
          <dgm:constrLst>
            <dgm:constr type="tMarg"/>
            <dgm:constr type="bMarg"/>
          </dgm:constrLst>
          <dgm:ruleLst/>
        </dgm:layoutNode>
      </dgm:layoutNode>
      <dgm:layoutNode name="negativeSpace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childText" styleLbl="conFgAcc1">
        <dgm:varLst>
          <dgm:bulletEnabled val="1"/>
        </dgm:varLst>
        <dgm:alg type="tx">
          <dgm:param type="stBulletLvl" val="1"/>
        </dgm:alg>
        <dgm:shape xmlns:r="http://schemas.openxmlformats.org/officeDocument/2006/relationships" type="rect" r:blip="" zOrderOff="-2">
          <dgm:adjLst/>
        </dgm:shape>
        <dgm:presOf axis="des" ptType="node"/>
        <dgm:constrLst>
          <dgm:constr type="secFontSz" refType="primFontSz"/>
        </dgm:constrLst>
        <dgm:ruleLst>
          <dgm:rule type="h" val="INF" fact="NaN" max="NaN"/>
        </dgm:ruleLst>
      </dgm:layoutNode>
      <dgm:forEach name="Name10" axis="followSib" ptType="sibTrans" cnt="1">
        <dgm:layoutNode name="spaceBetweenRectangles">
          <dgm:alg type="sp"/>
          <dgm:shape xmlns:r="http://schemas.openxmlformats.org/officeDocument/2006/relationships" r:blip="">
            <dgm:adjLst/>
          </dgm:shape>
          <dgm:presOf/>
          <dgm:constrLst/>
          <dgm:ruleLst/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3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4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6" Type="http://schemas.openxmlformats.org/officeDocument/2006/relationships/image" Target="../media/image1.jpeg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2.xml"/><Relationship Id="rId2" Type="http://schemas.openxmlformats.org/officeDocument/2006/relationships/diagramLayout" Target="../diagrams/layout2.xml"/><Relationship Id="rId1" Type="http://schemas.openxmlformats.org/officeDocument/2006/relationships/diagramData" Target="../diagrams/data2.xml"/><Relationship Id="rId5" Type="http://schemas.microsoft.com/office/2007/relationships/diagramDrawing" Target="../diagrams/drawing2.xml"/><Relationship Id="rId4" Type="http://schemas.openxmlformats.org/officeDocument/2006/relationships/diagramColors" Target="../diagrams/colors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3.xml"/><Relationship Id="rId2" Type="http://schemas.openxmlformats.org/officeDocument/2006/relationships/diagramLayout" Target="../diagrams/layout3.xml"/><Relationship Id="rId1" Type="http://schemas.openxmlformats.org/officeDocument/2006/relationships/diagramData" Target="../diagrams/data3.xml"/><Relationship Id="rId5" Type="http://schemas.microsoft.com/office/2007/relationships/diagramDrawing" Target="../diagrams/drawing3.xml"/><Relationship Id="rId4" Type="http://schemas.openxmlformats.org/officeDocument/2006/relationships/diagramColors" Target="../diagrams/colors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4.xml"/><Relationship Id="rId2" Type="http://schemas.openxmlformats.org/officeDocument/2006/relationships/diagramLayout" Target="../diagrams/layout4.xml"/><Relationship Id="rId1" Type="http://schemas.openxmlformats.org/officeDocument/2006/relationships/diagramData" Target="../diagrams/data4.xml"/><Relationship Id="rId5" Type="http://schemas.microsoft.com/office/2007/relationships/diagramDrawing" Target="../diagrams/drawing4.xml"/><Relationship Id="rId4" Type="http://schemas.openxmlformats.org/officeDocument/2006/relationships/diagramColors" Target="../diagrams/colors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527573</xdr:colOff>
      <xdr:row>22</xdr:row>
      <xdr:rowOff>91109</xdr:rowOff>
    </xdr:from>
    <xdr:ext cx="184731" cy="264560"/>
    <xdr:sp macro="" textlink="">
      <xdr:nvSpPr>
        <xdr:cNvPr id="5" name="TextBox 4"/>
        <xdr:cNvSpPr txBox="1"/>
      </xdr:nvSpPr>
      <xdr:spPr>
        <a:xfrm>
          <a:off x="10039416261" y="3553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 rtl="1"/>
          <a:endParaRPr lang="en-US" sz="1100"/>
        </a:p>
      </xdr:txBody>
    </xdr:sp>
    <xdr:clientData/>
  </xdr:oneCellAnchor>
  <xdr:twoCellAnchor editAs="oneCell">
    <xdr:from>
      <xdr:col>0</xdr:col>
      <xdr:colOff>268942</xdr:colOff>
      <xdr:row>0</xdr:row>
      <xdr:rowOff>359049</xdr:rowOff>
    </xdr:from>
    <xdr:to>
      <xdr:col>8</xdr:col>
      <xdr:colOff>468212</xdr:colOff>
      <xdr:row>3</xdr:row>
      <xdr:rowOff>79926</xdr:rowOff>
    </xdr:to>
    <xdr:graphicFrame macro="">
      <xdr:nvGraphicFramePr>
        <xdr:cNvPr id="33" name="Diagram 32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 editAs="oneCell">
    <xdr:from>
      <xdr:col>4</xdr:col>
      <xdr:colOff>614640</xdr:colOff>
      <xdr:row>10</xdr:row>
      <xdr:rowOff>219076</xdr:rowOff>
    </xdr:from>
    <xdr:to>
      <xdr:col>5</xdr:col>
      <xdr:colOff>258853</xdr:colOff>
      <xdr:row>11</xdr:row>
      <xdr:rowOff>238126</xdr:rowOff>
    </xdr:to>
    <xdr:pic>
      <xdr:nvPicPr>
        <xdr:cNvPr id="35" name="Picture 34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11214660" y="4690223"/>
          <a:ext cx="266700" cy="2655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590550</xdr:colOff>
      <xdr:row>0</xdr:row>
      <xdr:rowOff>190500</xdr:rowOff>
    </xdr:from>
    <xdr:to>
      <xdr:col>10</xdr:col>
      <xdr:colOff>266700</xdr:colOff>
      <xdr:row>0</xdr:row>
      <xdr:rowOff>1371600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590550</xdr:colOff>
      <xdr:row>0</xdr:row>
      <xdr:rowOff>190500</xdr:rowOff>
    </xdr:from>
    <xdr:to>
      <xdr:col>9</xdr:col>
      <xdr:colOff>657225</xdr:colOff>
      <xdr:row>1</xdr:row>
      <xdr:rowOff>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590550</xdr:colOff>
      <xdr:row>0</xdr:row>
      <xdr:rowOff>190500</xdr:rowOff>
    </xdr:from>
    <xdr:to>
      <xdr:col>10</xdr:col>
      <xdr:colOff>847725</xdr:colOff>
      <xdr:row>1</xdr:row>
      <xdr:rowOff>171450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NaserMahabadi@yahoo.com?subject=&#1587;&#1608;&#1575;&#1604;%20&#1576;&#1575;&#1576;&#1578;%20&#1601;&#1575;&#1740;&#1604;%20&#1607;&#1605;&#1587;&#1575;&#1606;%20&#1587;&#1575;&#1586;&#1740;%20" TargetMode="External"/><Relationship Id="rId1" Type="http://schemas.openxmlformats.org/officeDocument/2006/relationships/hyperlink" Target="https://shenasname.ir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Y37"/>
  <sheetViews>
    <sheetView rightToLeft="1" tabSelected="1" view="pageBreakPreview" zoomScaleNormal="100" zoomScaleSheetLayoutView="100" workbookViewId="0">
      <selection activeCell="G7" sqref="G7"/>
    </sheetView>
  </sheetViews>
  <sheetFormatPr defaultRowHeight="12.75" x14ac:dyDescent="0.2"/>
  <cols>
    <col min="1" max="1" width="28.7109375" style="91" customWidth="1"/>
    <col min="2" max="2" width="22.85546875" style="91" customWidth="1"/>
    <col min="3" max="3" width="8.140625" style="91" customWidth="1"/>
    <col min="4" max="4" width="22.85546875" style="91" customWidth="1"/>
    <col min="5" max="5" width="3.140625" style="91" customWidth="1"/>
    <col min="6" max="6" width="8" style="91" customWidth="1"/>
    <col min="7" max="7" width="22.85546875" style="91" customWidth="1"/>
    <col min="8" max="8" width="3.28515625" style="91" customWidth="1"/>
    <col min="9" max="9" width="9.140625" style="91"/>
    <col min="10" max="10" width="4.42578125" style="91" customWidth="1"/>
    <col min="11" max="16384" width="9.140625" style="91"/>
  </cols>
  <sheetData>
    <row r="1" spans="1:25" ht="198" customHeight="1" x14ac:dyDescent="0.2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90"/>
      <c r="M1" s="90"/>
    </row>
    <row r="2" spans="1:25" ht="12" customHeight="1" x14ac:dyDescent="0.2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90"/>
      <c r="M2" s="90"/>
    </row>
    <row r="3" spans="1:25" ht="12" customHeight="1" x14ac:dyDescent="0.2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90"/>
      <c r="M3" s="90"/>
    </row>
    <row r="4" spans="1:25" ht="12" customHeight="1" x14ac:dyDescent="0.2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90"/>
      <c r="M4" s="90"/>
    </row>
    <row r="5" spans="1:25" ht="32.25" customHeight="1" x14ac:dyDescent="0.2">
      <c r="A5" s="126" t="s">
        <v>118</v>
      </c>
      <c r="B5" s="126"/>
      <c r="C5" s="126"/>
      <c r="D5" s="126"/>
      <c r="E5" s="126"/>
      <c r="F5" s="126"/>
      <c r="G5" s="126"/>
      <c r="H5" s="126"/>
      <c r="I5" s="126"/>
      <c r="J5" s="126"/>
      <c r="K5" s="18"/>
      <c r="L5" s="90"/>
      <c r="M5" s="90"/>
    </row>
    <row r="6" spans="1:25" ht="14.25" customHeight="1" thickBot="1" x14ac:dyDescent="0.2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90"/>
      <c r="M6" s="90"/>
    </row>
    <row r="7" spans="1:25" ht="35.25" customHeight="1" thickBot="1" x14ac:dyDescent="0.25">
      <c r="A7" s="18"/>
      <c r="B7" s="89" t="s">
        <v>91</v>
      </c>
      <c r="C7" s="18"/>
      <c r="D7" s="128" t="s">
        <v>90</v>
      </c>
      <c r="E7" s="129"/>
      <c r="F7" s="18"/>
      <c r="G7" s="100" t="s">
        <v>114</v>
      </c>
      <c r="H7" s="18"/>
      <c r="I7" s="18"/>
      <c r="J7" s="18"/>
      <c r="K7" s="18"/>
      <c r="L7" s="90"/>
      <c r="M7" s="90"/>
    </row>
    <row r="8" spans="1:25" ht="11.25" customHeight="1" x14ac:dyDescent="0.2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90"/>
      <c r="M8" s="90"/>
    </row>
    <row r="9" spans="1:25" ht="19.5" customHeight="1" x14ac:dyDescent="0.2">
      <c r="A9" s="126" t="s">
        <v>85</v>
      </c>
      <c r="B9" s="126"/>
      <c r="C9" s="126"/>
      <c r="D9" s="126"/>
      <c r="E9" s="126"/>
      <c r="F9" s="126"/>
      <c r="G9" s="126"/>
      <c r="H9" s="126"/>
      <c r="I9" s="126"/>
      <c r="J9" s="18"/>
      <c r="K9" s="18"/>
      <c r="L9" s="90"/>
      <c r="M9" s="90"/>
    </row>
    <row r="10" spans="1:25" ht="19.5" customHeight="1" x14ac:dyDescent="0.2">
      <c r="A10" s="126" t="s">
        <v>84</v>
      </c>
      <c r="B10" s="126"/>
      <c r="C10" s="126"/>
      <c r="D10" s="126"/>
      <c r="E10" s="126"/>
      <c r="F10" s="126"/>
      <c r="G10" s="126"/>
      <c r="H10" s="126"/>
      <c r="I10" s="126"/>
      <c r="J10" s="18"/>
      <c r="K10" s="18"/>
      <c r="L10" s="90"/>
      <c r="M10" s="90"/>
    </row>
    <row r="11" spans="1:25" ht="19.5" customHeight="1" x14ac:dyDescent="0.2">
      <c r="A11" s="126" t="s">
        <v>86</v>
      </c>
      <c r="B11" s="126"/>
      <c r="C11" s="126"/>
      <c r="D11" s="126"/>
      <c r="E11" s="126"/>
      <c r="F11" s="126"/>
      <c r="G11" s="126"/>
      <c r="H11" s="126"/>
      <c r="I11" s="126"/>
      <c r="J11" s="18"/>
      <c r="K11" s="18"/>
      <c r="L11" s="90"/>
      <c r="M11" s="90"/>
    </row>
    <row r="12" spans="1:25" ht="22.5" x14ac:dyDescent="0.2">
      <c r="A12" s="127" t="s">
        <v>71</v>
      </c>
      <c r="B12" s="127"/>
      <c r="C12" s="127"/>
      <c r="D12" s="127"/>
      <c r="E12" s="127"/>
      <c r="F12" s="22"/>
      <c r="G12" s="22"/>
      <c r="H12" s="22"/>
      <c r="I12" s="25" t="s">
        <v>120</v>
      </c>
      <c r="J12" s="18"/>
      <c r="K12" s="18"/>
      <c r="L12" s="90"/>
      <c r="M12" s="90"/>
    </row>
    <row r="13" spans="1:25" s="19" customFormat="1" ht="22.5" customHeight="1" x14ac:dyDescent="0.2">
      <c r="B13" s="18"/>
      <c r="C13" s="18"/>
      <c r="D13" s="18"/>
      <c r="E13" s="18"/>
      <c r="F13" s="18"/>
      <c r="G13" s="18"/>
      <c r="H13" s="18"/>
      <c r="J13" s="18"/>
      <c r="K13" s="18"/>
    </row>
    <row r="14" spans="1:25" s="20" customFormat="1" ht="22.5" x14ac:dyDescent="0.2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</row>
    <row r="15" spans="1:25" s="18" customFormat="1" ht="22.5" customHeight="1" x14ac:dyDescent="0.2"/>
    <row r="16" spans="1:25" s="18" customFormat="1" ht="22.5" customHeight="1" x14ac:dyDescent="0.2">
      <c r="G16" s="21"/>
    </row>
    <row r="17" spans="1:11" ht="22.5" x14ac:dyDescent="0.2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</row>
    <row r="18" spans="1:11" ht="22.5" x14ac:dyDescent="0.2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19" spans="1:11" ht="22.5" x14ac:dyDescent="0.2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spans="1:11" ht="22.5" x14ac:dyDescent="0.2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1" spans="1:11" ht="22.5" x14ac:dyDescent="0.2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</row>
    <row r="22" spans="1:11" ht="22.5" x14ac:dyDescent="0.2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</row>
    <row r="23" spans="1:11" ht="22.5" x14ac:dyDescent="0.2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</row>
    <row r="24" spans="1:11" ht="22.5" x14ac:dyDescent="0.2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1:11" ht="22.5" x14ac:dyDescent="0.2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</row>
    <row r="26" spans="1:11" ht="22.5" x14ac:dyDescent="0.2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</row>
    <row r="27" spans="1:11" ht="22.5" x14ac:dyDescent="0.2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</row>
    <row r="28" spans="1:11" ht="22.5" x14ac:dyDescent="0.2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</row>
    <row r="29" spans="1:11" ht="22.5" x14ac:dyDescent="0.2">
      <c r="A29" s="18"/>
      <c r="B29" s="18"/>
      <c r="C29" s="18"/>
      <c r="D29" s="18"/>
      <c r="E29" s="18"/>
      <c r="F29" s="18"/>
      <c r="G29" s="18"/>
      <c r="H29" s="18"/>
      <c r="I29" s="18"/>
      <c r="J29" s="18"/>
    </row>
    <row r="30" spans="1:11" ht="22.5" x14ac:dyDescent="0.2">
      <c r="A30" s="18"/>
      <c r="B30" s="18"/>
      <c r="C30" s="18"/>
      <c r="D30" s="18"/>
      <c r="E30" s="18"/>
      <c r="F30" s="18"/>
      <c r="G30" s="18"/>
      <c r="H30" s="18"/>
      <c r="I30" s="18"/>
      <c r="J30" s="18"/>
    </row>
    <row r="31" spans="1:11" ht="22.5" x14ac:dyDescent="0.2">
      <c r="A31" s="18"/>
      <c r="B31" s="18"/>
      <c r="C31" s="18"/>
      <c r="D31" s="18"/>
      <c r="E31" s="18"/>
      <c r="F31" s="18"/>
      <c r="G31" s="18"/>
      <c r="H31" s="18"/>
      <c r="I31" s="18"/>
      <c r="J31" s="18"/>
    </row>
    <row r="32" spans="1:11" ht="22.5" x14ac:dyDescent="0.2">
      <c r="A32" s="18"/>
      <c r="B32" s="18"/>
      <c r="C32" s="18"/>
      <c r="D32" s="18"/>
      <c r="E32" s="18"/>
      <c r="F32" s="18"/>
      <c r="G32" s="18"/>
      <c r="H32" s="18"/>
      <c r="I32" s="18"/>
      <c r="J32" s="18"/>
    </row>
    <row r="33" spans="1:10" ht="22.5" x14ac:dyDescent="0.2">
      <c r="A33" s="18"/>
      <c r="B33" s="18"/>
      <c r="C33" s="18"/>
      <c r="D33" s="18"/>
      <c r="E33" s="18"/>
      <c r="F33" s="18"/>
      <c r="G33" s="18"/>
      <c r="H33" s="18"/>
      <c r="I33" s="18"/>
      <c r="J33" s="18"/>
    </row>
    <row r="34" spans="1:10" ht="22.5" x14ac:dyDescent="0.2">
      <c r="A34" s="18"/>
      <c r="B34" s="18"/>
      <c r="C34" s="18"/>
      <c r="D34" s="18"/>
      <c r="E34" s="18"/>
      <c r="F34" s="18"/>
      <c r="G34" s="18"/>
      <c r="H34" s="18"/>
      <c r="I34" s="18"/>
      <c r="J34" s="18"/>
    </row>
    <row r="35" spans="1:10" ht="22.5" x14ac:dyDescent="0.2">
      <c r="A35" s="18"/>
      <c r="B35" s="18"/>
      <c r="C35" s="18"/>
      <c r="D35" s="18"/>
      <c r="E35" s="18"/>
      <c r="F35" s="18"/>
      <c r="G35" s="18"/>
      <c r="H35" s="18"/>
      <c r="I35" s="18"/>
      <c r="J35" s="18"/>
    </row>
    <row r="36" spans="1:10" ht="22.5" x14ac:dyDescent="0.2">
      <c r="A36" s="18"/>
      <c r="B36" s="18"/>
      <c r="C36" s="18"/>
      <c r="D36" s="18"/>
      <c r="E36" s="18"/>
      <c r="F36" s="18"/>
      <c r="G36" s="18"/>
      <c r="H36" s="18"/>
      <c r="I36" s="18"/>
      <c r="J36" s="18"/>
    </row>
    <row r="37" spans="1:10" ht="22.5" x14ac:dyDescent="0.2">
      <c r="A37" s="18"/>
      <c r="B37" s="18"/>
      <c r="C37" s="18"/>
      <c r="D37" s="18"/>
      <c r="E37" s="18"/>
      <c r="F37" s="18"/>
      <c r="G37" s="18"/>
      <c r="H37" s="18"/>
      <c r="I37" s="18"/>
      <c r="J37" s="18"/>
    </row>
  </sheetData>
  <mergeCells count="6">
    <mergeCell ref="A5:J5"/>
    <mergeCell ref="A12:E12"/>
    <mergeCell ref="D7:E7"/>
    <mergeCell ref="A9:I9"/>
    <mergeCell ref="A10:I10"/>
    <mergeCell ref="A11:I11"/>
  </mergeCells>
  <dataValidations count="1">
    <dataValidation allowBlank="1" showInputMessage="1" showErrorMessage="1" errorTitle="توضیحات رو نخوندی" error="فقط خانه های زرد رنگ رو تکمیل کن" sqref="K13:XFD16 A12 A14:A16"/>
  </dataValidations>
  <hyperlinks>
    <hyperlink ref="A12" r:id="rId1"/>
    <hyperlink ref="A10" r:id="rId2"/>
    <hyperlink ref="B7" location="'رسمی پیمانی'!D5" display="رسمی یا پیمانی "/>
    <hyperlink ref="G7" location="'بازنشستگان و موظفین'!H5" display="بازنشستگان و موظفین "/>
    <hyperlink ref="D7:E7" location="'قراردادانجام کارمعین'!D5" display="قرارداد انجام کارمعین"/>
  </hyperlinks>
  <pageMargins left="0.7" right="0.7" top="0.75" bottom="0.75" header="0.3" footer="0.3"/>
  <pageSetup paperSize="9" scale="65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U52"/>
  <sheetViews>
    <sheetView rightToLeft="1" view="pageBreakPreview" zoomScale="70" zoomScaleNormal="90" zoomScaleSheetLayoutView="70" workbookViewId="0">
      <selection activeCell="F21" sqref="F21"/>
    </sheetView>
  </sheetViews>
  <sheetFormatPr defaultRowHeight="12.75" x14ac:dyDescent="0.2"/>
  <cols>
    <col min="1" max="1" width="28.7109375" style="2" customWidth="1"/>
    <col min="2" max="2" width="9.5703125" style="2" customWidth="1"/>
    <col min="3" max="3" width="10.7109375" style="2" customWidth="1"/>
    <col min="4" max="4" width="10" style="2" customWidth="1"/>
    <col min="5" max="5" width="9.28515625" style="2" customWidth="1"/>
    <col min="6" max="6" width="23.5703125" style="2" customWidth="1"/>
    <col min="7" max="7" width="6.28515625" style="2" customWidth="1"/>
    <col min="8" max="8" width="26.28515625" style="2" customWidth="1"/>
    <col min="9" max="9" width="13.42578125" style="2" customWidth="1"/>
    <col min="10" max="10" width="13.85546875" style="2" customWidth="1"/>
    <col min="11" max="11" width="16.85546875" style="2" customWidth="1"/>
    <col min="12" max="12" width="11.140625" style="114" bestFit="1" customWidth="1"/>
    <col min="13" max="13" width="15.5703125" style="114" bestFit="1" customWidth="1"/>
    <col min="14" max="20" width="9.140625" style="114"/>
    <col min="21" max="16384" width="9.140625" style="2"/>
  </cols>
  <sheetData>
    <row r="1" spans="1:21" ht="117.75" customHeight="1" x14ac:dyDescent="0.2">
      <c r="A1" s="7"/>
      <c r="B1" s="7"/>
      <c r="C1" s="7"/>
      <c r="D1" s="7"/>
      <c r="E1" s="7"/>
      <c r="F1" s="7"/>
      <c r="G1" s="7"/>
      <c r="H1" s="7"/>
      <c r="I1" s="7"/>
      <c r="J1" s="7"/>
      <c r="K1" s="7"/>
      <c r="U1" s="114"/>
    </row>
    <row r="2" spans="1:21" s="1" customFormat="1" ht="37.5" customHeight="1" x14ac:dyDescent="0.65">
      <c r="A2" s="159" t="s">
        <v>92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13"/>
      <c r="M2" s="113"/>
      <c r="N2" s="113"/>
      <c r="O2" s="113"/>
      <c r="P2" s="113"/>
      <c r="Q2" s="113"/>
      <c r="R2" s="113"/>
      <c r="S2" s="113"/>
      <c r="T2" s="113"/>
      <c r="U2" s="113"/>
    </row>
    <row r="3" spans="1:21" s="1" customFormat="1" ht="30" customHeight="1" x14ac:dyDescent="0.8">
      <c r="A3" s="165" t="s">
        <v>87</v>
      </c>
      <c r="B3" s="165"/>
      <c r="C3" s="165"/>
      <c r="D3" s="165"/>
      <c r="E3" s="165"/>
      <c r="F3" s="165"/>
      <c r="G3" s="3"/>
      <c r="H3" s="165" t="s">
        <v>89</v>
      </c>
      <c r="I3" s="165"/>
      <c r="J3" s="165"/>
      <c r="K3" s="165"/>
      <c r="L3" s="57"/>
      <c r="M3" s="57"/>
      <c r="N3" s="57"/>
      <c r="O3" s="57"/>
      <c r="P3" s="57"/>
      <c r="Q3" s="118"/>
      <c r="R3" s="118"/>
      <c r="S3" s="113"/>
      <c r="T3" s="113"/>
      <c r="U3" s="113"/>
    </row>
    <row r="4" spans="1:21" ht="22.5" x14ac:dyDescent="0.55000000000000004">
      <c r="A4" s="164" t="s">
        <v>53</v>
      </c>
      <c r="B4" s="164"/>
      <c r="C4" s="164"/>
      <c r="D4" s="161" t="s">
        <v>79</v>
      </c>
      <c r="E4" s="161"/>
      <c r="F4" s="45" t="s">
        <v>76</v>
      </c>
      <c r="G4" s="3"/>
      <c r="H4" s="161" t="s">
        <v>53</v>
      </c>
      <c r="I4" s="161"/>
      <c r="J4" s="45" t="s">
        <v>88</v>
      </c>
      <c r="K4" s="45" t="s">
        <v>80</v>
      </c>
      <c r="L4" s="56"/>
      <c r="M4" s="56"/>
      <c r="N4" s="56" t="s">
        <v>78</v>
      </c>
      <c r="O4" s="56">
        <v>2438</v>
      </c>
      <c r="P4" s="56"/>
      <c r="Q4" s="119"/>
      <c r="R4" s="119"/>
      <c r="U4" s="114"/>
    </row>
    <row r="5" spans="1:21" ht="22.5" x14ac:dyDescent="0.65">
      <c r="A5" s="160" t="s">
        <v>77</v>
      </c>
      <c r="B5" s="130" t="s">
        <v>22</v>
      </c>
      <c r="C5" s="130"/>
      <c r="D5" s="162">
        <v>10500</v>
      </c>
      <c r="E5" s="163"/>
      <c r="F5" s="51">
        <f t="shared" ref="F5:F16" si="0">D5*$O$4</f>
        <v>25599000</v>
      </c>
      <c r="G5" s="3"/>
      <c r="H5" s="160" t="s">
        <v>77</v>
      </c>
      <c r="I5" s="17" t="str">
        <f>B5</f>
        <v>حق شغل</v>
      </c>
      <c r="J5" s="23">
        <f>D5</f>
        <v>10500</v>
      </c>
      <c r="K5" s="16">
        <f>D5*$O$5</f>
        <v>32004000</v>
      </c>
      <c r="L5" s="87"/>
      <c r="M5" s="125"/>
      <c r="N5" s="56" t="s">
        <v>94</v>
      </c>
      <c r="O5" s="56">
        <v>3048</v>
      </c>
      <c r="P5" s="56"/>
      <c r="Q5" s="119"/>
      <c r="R5" s="119"/>
      <c r="U5" s="114"/>
    </row>
    <row r="6" spans="1:21" ht="22.5" x14ac:dyDescent="0.65">
      <c r="A6" s="160"/>
      <c r="B6" s="130" t="s">
        <v>54</v>
      </c>
      <c r="C6" s="130"/>
      <c r="D6" s="162">
        <v>3375</v>
      </c>
      <c r="E6" s="163"/>
      <c r="F6" s="51">
        <f t="shared" si="0"/>
        <v>8228250</v>
      </c>
      <c r="G6" s="3"/>
      <c r="H6" s="160"/>
      <c r="I6" s="17" t="str">
        <f>B6</f>
        <v xml:space="preserve">فوق العاده مدیریت </v>
      </c>
      <c r="J6" s="23">
        <f>D6</f>
        <v>3375</v>
      </c>
      <c r="K6" s="16">
        <f>D6*$O$5</f>
        <v>10287000</v>
      </c>
      <c r="L6" s="87"/>
      <c r="M6" s="125"/>
      <c r="N6" s="56" t="s">
        <v>95</v>
      </c>
      <c r="O6" s="56">
        <v>22468000</v>
      </c>
      <c r="P6" s="56"/>
      <c r="Q6" s="119"/>
      <c r="R6" s="119"/>
      <c r="U6" s="114"/>
    </row>
    <row r="7" spans="1:21" ht="22.5" x14ac:dyDescent="0.65">
      <c r="A7" s="160"/>
      <c r="B7" s="130" t="s">
        <v>67</v>
      </c>
      <c r="C7" s="130"/>
      <c r="D7" s="162">
        <v>8989</v>
      </c>
      <c r="E7" s="163"/>
      <c r="F7" s="51">
        <f t="shared" si="0"/>
        <v>21915182</v>
      </c>
      <c r="G7" s="3"/>
      <c r="H7" s="160"/>
      <c r="I7" s="17" t="str">
        <f>B7</f>
        <v xml:space="preserve">حق شاغل </v>
      </c>
      <c r="J7" s="23">
        <f>'جزییات حق شاغل رسمی'!B90</f>
        <v>7875</v>
      </c>
      <c r="K7" s="121">
        <f>J7*$O$5</f>
        <v>24003000</v>
      </c>
      <c r="L7" s="87"/>
      <c r="M7" s="125"/>
      <c r="N7" s="56"/>
      <c r="O7" s="56"/>
      <c r="P7" s="56"/>
      <c r="Q7" s="119"/>
      <c r="R7" s="119"/>
      <c r="U7" s="114"/>
    </row>
    <row r="8" spans="1:21" ht="22.5" x14ac:dyDescent="0.65">
      <c r="A8" s="130" t="s">
        <v>56</v>
      </c>
      <c r="B8" s="130"/>
      <c r="C8" s="130"/>
      <c r="D8" s="149">
        <v>3000</v>
      </c>
      <c r="E8" s="149"/>
      <c r="F8" s="51">
        <f t="shared" si="0"/>
        <v>7314000</v>
      </c>
      <c r="G8" s="3"/>
      <c r="H8" s="130" t="str">
        <f>A8</f>
        <v>فوق العاده شغل</v>
      </c>
      <c r="I8" s="130"/>
      <c r="J8" s="23">
        <f t="shared" ref="J8:J14" si="1">D8</f>
        <v>3000</v>
      </c>
      <c r="K8" s="16">
        <f t="shared" ref="K8:K14" si="2">D8*$O$5</f>
        <v>9144000</v>
      </c>
      <c r="L8" s="87"/>
      <c r="M8" s="122"/>
      <c r="N8" s="119"/>
      <c r="O8" s="119"/>
      <c r="P8" s="119"/>
      <c r="Q8" s="119"/>
      <c r="R8" s="119"/>
      <c r="U8" s="114"/>
    </row>
    <row r="9" spans="1:21" ht="22.5" x14ac:dyDescent="0.65">
      <c r="A9" s="130" t="s">
        <v>58</v>
      </c>
      <c r="B9" s="130"/>
      <c r="C9" s="130"/>
      <c r="D9" s="149">
        <v>0</v>
      </c>
      <c r="E9" s="149"/>
      <c r="F9" s="51">
        <f t="shared" si="0"/>
        <v>0</v>
      </c>
      <c r="G9" s="3"/>
      <c r="H9" s="130" t="str">
        <f t="shared" ref="H9:H27" si="3">A9</f>
        <v>فوق العاده ایثارگری</v>
      </c>
      <c r="I9" s="130"/>
      <c r="J9" s="23">
        <f t="shared" si="1"/>
        <v>0</v>
      </c>
      <c r="K9" s="16">
        <f t="shared" si="2"/>
        <v>0</v>
      </c>
      <c r="L9" s="87"/>
      <c r="M9" s="122"/>
      <c r="N9" s="119"/>
      <c r="O9" s="119"/>
      <c r="P9" s="119"/>
      <c r="Q9" s="119"/>
      <c r="R9" s="119"/>
      <c r="U9" s="114"/>
    </row>
    <row r="10" spans="1:21" ht="22.5" x14ac:dyDescent="0.65">
      <c r="A10" s="130" t="s">
        <v>60</v>
      </c>
      <c r="B10" s="130"/>
      <c r="C10" s="130"/>
      <c r="D10" s="149">
        <v>0</v>
      </c>
      <c r="E10" s="149"/>
      <c r="F10" s="51">
        <f t="shared" si="0"/>
        <v>0</v>
      </c>
      <c r="G10" s="3"/>
      <c r="H10" s="130" t="str">
        <f t="shared" si="3"/>
        <v>فوق العاده سختی کار</v>
      </c>
      <c r="I10" s="130"/>
      <c r="J10" s="23">
        <f t="shared" si="1"/>
        <v>0</v>
      </c>
      <c r="K10" s="16">
        <f t="shared" si="2"/>
        <v>0</v>
      </c>
      <c r="L10" s="87"/>
      <c r="M10" s="122"/>
      <c r="N10" s="119"/>
      <c r="O10" s="119"/>
      <c r="P10" s="119"/>
      <c r="Q10" s="119"/>
      <c r="R10" s="119"/>
      <c r="U10" s="114"/>
    </row>
    <row r="11" spans="1:21" ht="22.5" x14ac:dyDescent="0.65">
      <c r="A11" s="130" t="s">
        <v>61</v>
      </c>
      <c r="B11" s="130"/>
      <c r="C11" s="130"/>
      <c r="D11" s="149">
        <v>1215</v>
      </c>
      <c r="E11" s="149"/>
      <c r="F11" s="51">
        <f t="shared" si="0"/>
        <v>2962170</v>
      </c>
      <c r="G11" s="3"/>
      <c r="H11" s="130" t="str">
        <f t="shared" si="3"/>
        <v>کمک هزینه عائله مندی</v>
      </c>
      <c r="I11" s="130"/>
      <c r="J11" s="23">
        <f t="shared" si="1"/>
        <v>1215</v>
      </c>
      <c r="K11" s="16">
        <f t="shared" si="2"/>
        <v>3703320</v>
      </c>
      <c r="L11" s="87"/>
      <c r="M11" s="122"/>
      <c r="N11" s="119"/>
      <c r="O11" s="119"/>
      <c r="P11" s="119"/>
      <c r="Q11" s="119"/>
      <c r="R11" s="119"/>
      <c r="U11" s="114"/>
    </row>
    <row r="12" spans="1:21" ht="22.5" x14ac:dyDescent="0.65">
      <c r="A12" s="130" t="s">
        <v>62</v>
      </c>
      <c r="B12" s="130"/>
      <c r="C12" s="130"/>
      <c r="D12" s="149">
        <v>315</v>
      </c>
      <c r="E12" s="149"/>
      <c r="F12" s="51">
        <f t="shared" si="0"/>
        <v>767970</v>
      </c>
      <c r="G12" s="3"/>
      <c r="H12" s="130" t="str">
        <f t="shared" si="3"/>
        <v>کمک هزینه اولاد</v>
      </c>
      <c r="I12" s="130"/>
      <c r="J12" s="23">
        <f t="shared" si="1"/>
        <v>315</v>
      </c>
      <c r="K12" s="16">
        <f t="shared" si="2"/>
        <v>960120</v>
      </c>
      <c r="L12" s="87"/>
      <c r="M12" s="122"/>
      <c r="N12" s="119"/>
      <c r="O12" s="119"/>
      <c r="P12" s="119"/>
      <c r="Q12" s="119"/>
      <c r="R12" s="119"/>
      <c r="U12" s="114"/>
    </row>
    <row r="13" spans="1:21" ht="22.5" x14ac:dyDescent="0.65">
      <c r="A13" s="130" t="s">
        <v>65</v>
      </c>
      <c r="B13" s="130"/>
      <c r="C13" s="130"/>
      <c r="D13" s="149">
        <v>0</v>
      </c>
      <c r="E13" s="149"/>
      <c r="F13" s="51">
        <f t="shared" si="0"/>
        <v>0</v>
      </c>
      <c r="G13" s="3"/>
      <c r="H13" s="130" t="str">
        <f t="shared" si="3"/>
        <v>فوق العاده نشان های دولتی</v>
      </c>
      <c r="I13" s="130"/>
      <c r="J13" s="23">
        <f t="shared" si="1"/>
        <v>0</v>
      </c>
      <c r="K13" s="16">
        <f t="shared" si="2"/>
        <v>0</v>
      </c>
      <c r="L13" s="87"/>
      <c r="M13" s="122"/>
      <c r="N13" s="119"/>
      <c r="O13" s="119"/>
      <c r="P13" s="119"/>
      <c r="Q13" s="119"/>
      <c r="R13" s="119"/>
      <c r="U13" s="114"/>
    </row>
    <row r="14" spans="1:21" ht="22.5" x14ac:dyDescent="0.65">
      <c r="A14" s="130" t="s">
        <v>66</v>
      </c>
      <c r="B14" s="130"/>
      <c r="C14" s="130"/>
      <c r="D14" s="149"/>
      <c r="E14" s="149"/>
      <c r="F14" s="51">
        <f t="shared" si="0"/>
        <v>0</v>
      </c>
      <c r="G14" s="3"/>
      <c r="H14" s="130" t="str">
        <f t="shared" si="3"/>
        <v>فوق العاده خدمت در مناطق جنگ زده</v>
      </c>
      <c r="I14" s="130"/>
      <c r="J14" s="23">
        <f t="shared" si="1"/>
        <v>0</v>
      </c>
      <c r="K14" s="16">
        <f t="shared" si="2"/>
        <v>0</v>
      </c>
      <c r="L14" s="87"/>
      <c r="M14" s="122"/>
      <c r="N14" s="119"/>
      <c r="O14" s="119"/>
      <c r="P14" s="119"/>
      <c r="Q14" s="119"/>
      <c r="R14" s="119"/>
      <c r="U14" s="114"/>
    </row>
    <row r="15" spans="1:21" ht="22.5" x14ac:dyDescent="0.65">
      <c r="A15" s="158" t="s">
        <v>75</v>
      </c>
      <c r="B15" s="158"/>
      <c r="C15" s="158"/>
      <c r="D15" s="149">
        <v>0</v>
      </c>
      <c r="E15" s="149"/>
      <c r="F15" s="51">
        <f t="shared" si="0"/>
        <v>0</v>
      </c>
      <c r="G15" s="3"/>
      <c r="H15" s="158" t="s">
        <v>121</v>
      </c>
      <c r="I15" s="158"/>
      <c r="J15" s="23"/>
      <c r="K15" s="16">
        <f>IF(M27&lt;35000000,35000000-M27,0)</f>
        <v>0</v>
      </c>
      <c r="L15" s="56"/>
      <c r="M15" s="122"/>
      <c r="N15" s="119"/>
      <c r="O15" s="119"/>
      <c r="P15" s="119"/>
      <c r="Q15" s="119"/>
      <c r="R15" s="119"/>
      <c r="U15" s="114"/>
    </row>
    <row r="16" spans="1:21" ht="22.5" x14ac:dyDescent="0.65">
      <c r="A16" s="146" t="s">
        <v>74</v>
      </c>
      <c r="B16" s="146"/>
      <c r="C16" s="146"/>
      <c r="D16" s="149">
        <v>0</v>
      </c>
      <c r="E16" s="149"/>
      <c r="F16" s="51">
        <f t="shared" si="0"/>
        <v>0</v>
      </c>
      <c r="G16" s="3"/>
      <c r="H16" s="130" t="str">
        <f t="shared" ref="H16:H22" si="4">A17</f>
        <v>تفاوت تطبیق</v>
      </c>
      <c r="I16" s="130"/>
      <c r="J16" s="46"/>
      <c r="K16" s="16">
        <f>F17</f>
        <v>0</v>
      </c>
      <c r="L16" s="87"/>
      <c r="M16" s="122"/>
      <c r="N16" s="119"/>
      <c r="O16" s="119"/>
      <c r="P16" s="119"/>
      <c r="Q16" s="119"/>
      <c r="R16" s="119"/>
      <c r="U16" s="114"/>
    </row>
    <row r="17" spans="1:21" ht="22.5" x14ac:dyDescent="0.65">
      <c r="A17" s="130" t="s">
        <v>55</v>
      </c>
      <c r="B17" s="130"/>
      <c r="C17" s="130"/>
      <c r="D17" s="148"/>
      <c r="E17" s="148"/>
      <c r="F17" s="47">
        <v>0</v>
      </c>
      <c r="G17" s="3"/>
      <c r="H17" s="130" t="str">
        <f t="shared" si="4"/>
        <v>فوق العاده ویژه</v>
      </c>
      <c r="I17" s="130"/>
      <c r="J17" s="24">
        <f>D18</f>
        <v>0.38044772339798738</v>
      </c>
      <c r="K17" s="121">
        <f>(K5+K6+K7+K8+K9+K10+K13+K14+K23+K25+K26)*J17</f>
        <v>28700215.357697371</v>
      </c>
      <c r="L17" s="87"/>
      <c r="M17" s="122"/>
      <c r="N17" s="119"/>
      <c r="O17" s="119"/>
      <c r="P17" s="119"/>
      <c r="Q17" s="119"/>
      <c r="R17" s="119"/>
      <c r="U17" s="114"/>
    </row>
    <row r="18" spans="1:21" ht="22.5" x14ac:dyDescent="0.65">
      <c r="A18" s="130" t="s">
        <v>57</v>
      </c>
      <c r="B18" s="130"/>
      <c r="C18" s="130"/>
      <c r="D18" s="150">
        <f>F18/(F5+F6+F7+F8+F9+F10+F13+F14+F15+F16+F24)</f>
        <v>0.38044772339798738</v>
      </c>
      <c r="E18" s="150"/>
      <c r="F18" s="47">
        <v>23989676</v>
      </c>
      <c r="G18" s="3"/>
      <c r="H18" s="130" t="str">
        <f t="shared" si="4"/>
        <v>فوق العاده ایثارگری موضوع ماده 51 قانون جامع</v>
      </c>
      <c r="I18" s="130"/>
      <c r="J18" s="46"/>
      <c r="K18" s="16">
        <f>IF(F19&gt;0,O6/4,0)</f>
        <v>0</v>
      </c>
      <c r="L18" s="87"/>
      <c r="M18" s="119"/>
      <c r="N18" s="119"/>
      <c r="O18" s="119"/>
      <c r="P18" s="119"/>
      <c r="Q18" s="119"/>
      <c r="R18" s="119"/>
      <c r="U18" s="114"/>
    </row>
    <row r="19" spans="1:21" ht="22.5" x14ac:dyDescent="0.65">
      <c r="A19" s="130" t="s">
        <v>59</v>
      </c>
      <c r="B19" s="130"/>
      <c r="C19" s="130"/>
      <c r="D19" s="148"/>
      <c r="E19" s="148"/>
      <c r="F19" s="47">
        <v>0</v>
      </c>
      <c r="G19" s="3"/>
      <c r="H19" s="130" t="str">
        <f t="shared" si="4"/>
        <v>سایر - جزء ب بند 11 قانون بودجه سال 88</v>
      </c>
      <c r="I19" s="130"/>
      <c r="J19" s="46"/>
      <c r="K19" s="16">
        <f>F20</f>
        <v>0</v>
      </c>
      <c r="L19" s="87"/>
      <c r="M19" s="123"/>
      <c r="N19" s="119"/>
      <c r="O19" s="119"/>
      <c r="P19" s="119"/>
      <c r="Q19" s="119"/>
      <c r="R19" s="119"/>
      <c r="U19" s="114"/>
    </row>
    <row r="20" spans="1:21" ht="22.5" x14ac:dyDescent="0.65">
      <c r="A20" s="130" t="s">
        <v>93</v>
      </c>
      <c r="B20" s="130"/>
      <c r="C20" s="130"/>
      <c r="D20" s="148"/>
      <c r="E20" s="148"/>
      <c r="F20" s="47">
        <v>0</v>
      </c>
      <c r="G20" s="3"/>
      <c r="H20" s="130" t="str">
        <f t="shared" si="4"/>
        <v>فوق العاده بدی آب و هوا</v>
      </c>
      <c r="I20" s="130"/>
      <c r="J20" s="24">
        <f>D21</f>
        <v>0</v>
      </c>
      <c r="K20" s="121">
        <f>(K6+K5+K7+K25+K26)*J20</f>
        <v>0</v>
      </c>
      <c r="L20" s="87"/>
      <c r="M20" s="119"/>
      <c r="N20" s="119"/>
      <c r="O20" s="119"/>
      <c r="P20" s="119"/>
      <c r="Q20" s="119"/>
      <c r="R20" s="119"/>
      <c r="U20" s="114"/>
    </row>
    <row r="21" spans="1:21" ht="22.5" x14ac:dyDescent="0.65">
      <c r="A21" s="130" t="s">
        <v>63</v>
      </c>
      <c r="B21" s="130"/>
      <c r="C21" s="130"/>
      <c r="D21" s="157">
        <f>F21/(F5+F6+F7+F15+F16)</f>
        <v>0</v>
      </c>
      <c r="E21" s="157"/>
      <c r="F21" s="47">
        <v>0</v>
      </c>
      <c r="G21" s="3"/>
      <c r="H21" s="130" t="str">
        <f t="shared" si="4"/>
        <v>فوق العاده مناطق کمتر توسعه یافته</v>
      </c>
      <c r="I21" s="130"/>
      <c r="J21" s="24">
        <f>D22</f>
        <v>0</v>
      </c>
      <c r="K21" s="121">
        <f>(K5+K6+K7+K25+K26)*J21</f>
        <v>0</v>
      </c>
      <c r="L21" s="87"/>
      <c r="M21" s="119"/>
      <c r="N21" s="119"/>
      <c r="O21" s="119"/>
      <c r="P21" s="119"/>
      <c r="Q21" s="119"/>
      <c r="R21" s="119"/>
      <c r="U21" s="114"/>
    </row>
    <row r="22" spans="1:21" ht="22.5" x14ac:dyDescent="0.65">
      <c r="A22" s="130" t="s">
        <v>64</v>
      </c>
      <c r="B22" s="130"/>
      <c r="C22" s="130"/>
      <c r="D22" s="157">
        <f>F22/(F6+F7+F5+F16+F15)</f>
        <v>0</v>
      </c>
      <c r="E22" s="157"/>
      <c r="F22" s="47">
        <v>0</v>
      </c>
      <c r="G22" s="3"/>
      <c r="H22" s="130" t="str">
        <f t="shared" si="4"/>
        <v>حداقل دریافتی</v>
      </c>
      <c r="I22" s="130"/>
      <c r="J22" s="46"/>
      <c r="K22" s="51">
        <f>IF((K5+K6+K7+K8+K9+K10+K17)&lt;O6,O6-(K5+K6+K7+K8+K9+K17),0)</f>
        <v>0</v>
      </c>
      <c r="L22" s="87"/>
      <c r="M22" s="119"/>
      <c r="N22" s="119"/>
      <c r="O22" s="119"/>
      <c r="P22" s="119"/>
      <c r="Q22" s="119"/>
      <c r="R22" s="119"/>
      <c r="U22" s="114"/>
    </row>
    <row r="23" spans="1:21" ht="22.5" x14ac:dyDescent="0.65">
      <c r="A23" s="130" t="s">
        <v>69</v>
      </c>
      <c r="B23" s="130"/>
      <c r="C23" s="130"/>
      <c r="D23" s="148"/>
      <c r="E23" s="148"/>
      <c r="F23" s="47"/>
      <c r="G23" s="3"/>
      <c r="H23" s="130" t="s">
        <v>119</v>
      </c>
      <c r="I23" s="130"/>
      <c r="J23" s="24">
        <f>D24</f>
        <v>0</v>
      </c>
      <c r="K23" s="116">
        <f>K5*D24</f>
        <v>0</v>
      </c>
      <c r="L23" s="87"/>
      <c r="M23" s="120"/>
      <c r="N23" s="120"/>
      <c r="O23" s="119"/>
      <c r="P23" s="119"/>
      <c r="Q23" s="119"/>
      <c r="R23" s="119"/>
      <c r="U23" s="114"/>
    </row>
    <row r="24" spans="1:21" ht="22.5" x14ac:dyDescent="0.65">
      <c r="A24" s="130" t="s">
        <v>119</v>
      </c>
      <c r="B24" s="130"/>
      <c r="C24" s="130"/>
      <c r="D24" s="150">
        <f>F24/F5</f>
        <v>0</v>
      </c>
      <c r="E24" s="150"/>
      <c r="F24" s="47">
        <v>0</v>
      </c>
      <c r="G24" s="3"/>
      <c r="H24" s="130" t="s">
        <v>110</v>
      </c>
      <c r="I24" s="130"/>
      <c r="J24" s="46"/>
      <c r="K24" s="88">
        <f>IF(M28-F27&gt;25000000,25000000-(M28-F27),0)</f>
        <v>0</v>
      </c>
      <c r="L24" s="87"/>
      <c r="M24" s="119"/>
      <c r="N24" s="119"/>
      <c r="O24" s="119"/>
      <c r="P24" s="119"/>
      <c r="Q24" s="119"/>
      <c r="R24" s="119"/>
      <c r="U24" s="114"/>
    </row>
    <row r="25" spans="1:21" ht="22.5" x14ac:dyDescent="0.65">
      <c r="A25" s="130"/>
      <c r="B25" s="130"/>
      <c r="C25" s="130"/>
      <c r="D25" s="117"/>
      <c r="E25" s="117"/>
      <c r="F25" s="124"/>
      <c r="G25" s="3"/>
      <c r="H25" s="146" t="s">
        <v>75</v>
      </c>
      <c r="I25" s="146"/>
      <c r="J25" s="23">
        <f>D15</f>
        <v>0</v>
      </c>
      <c r="K25" s="88">
        <f>J25*O5</f>
        <v>0</v>
      </c>
      <c r="L25" s="87"/>
      <c r="M25" s="125"/>
      <c r="N25" s="56"/>
      <c r="O25" s="119"/>
      <c r="P25" s="119"/>
      <c r="Q25" s="119"/>
      <c r="R25" s="119"/>
      <c r="U25" s="114"/>
    </row>
    <row r="26" spans="1:21" ht="22.5" x14ac:dyDescent="0.65">
      <c r="A26" s="130"/>
      <c r="B26" s="130"/>
      <c r="C26" s="130"/>
      <c r="D26" s="117"/>
      <c r="E26" s="117"/>
      <c r="F26" s="124"/>
      <c r="G26" s="3"/>
      <c r="H26" s="130" t="s">
        <v>74</v>
      </c>
      <c r="I26" s="130"/>
      <c r="J26" s="23">
        <f>D16</f>
        <v>0</v>
      </c>
      <c r="K26" s="88">
        <f>J26*O5</f>
        <v>0</v>
      </c>
      <c r="L26" s="87"/>
      <c r="M26" s="125"/>
      <c r="N26" s="56"/>
      <c r="O26" s="119"/>
      <c r="P26" s="119"/>
      <c r="Q26" s="119"/>
      <c r="R26" s="119"/>
      <c r="U26" s="114"/>
    </row>
    <row r="27" spans="1:21" ht="22.5" x14ac:dyDescent="0.65">
      <c r="A27" s="166" t="s">
        <v>102</v>
      </c>
      <c r="B27" s="167"/>
      <c r="C27" s="167"/>
      <c r="D27" s="167"/>
      <c r="E27" s="168"/>
      <c r="F27" s="28">
        <f>SUM(F5:F24)</f>
        <v>90776248</v>
      </c>
      <c r="G27" s="29"/>
      <c r="H27" s="169" t="str">
        <f t="shared" si="3"/>
        <v>جمع نهایی مبالغ مندرج در  حکم (قرارداد)</v>
      </c>
      <c r="I27" s="170"/>
      <c r="J27" s="171"/>
      <c r="K27" s="28">
        <f>SUM(K5:K26)</f>
        <v>108801655.35769737</v>
      </c>
      <c r="L27" s="87"/>
      <c r="M27" s="58">
        <f>K5+K6+K7+K8+K9+K10+K11+K12+K13+K14+K16+K17+K18+K19+K20+K21+K22+K23+K25+K26</f>
        <v>108801655.35769737</v>
      </c>
      <c r="N27" s="56"/>
      <c r="O27" s="119"/>
      <c r="P27" s="119"/>
      <c r="Q27" s="119"/>
      <c r="R27" s="119"/>
      <c r="U27" s="114"/>
    </row>
    <row r="28" spans="1:21" ht="18.75" x14ac:dyDescent="0.55000000000000004">
      <c r="A28" s="3"/>
      <c r="B28" s="3"/>
      <c r="C28" s="3"/>
      <c r="D28" s="3"/>
      <c r="E28" s="3"/>
      <c r="F28" s="3"/>
      <c r="G28" s="3"/>
      <c r="I28" s="3"/>
      <c r="J28" s="3"/>
      <c r="K28" s="3"/>
      <c r="L28" s="56"/>
      <c r="M28" s="58">
        <f>K6+K7+K8+K9+K10+K11+K12+K13+K14+K15+K17+K18+K19+K20+K21+K22+K23+K5+K16+K25+K26</f>
        <v>108801655.35769737</v>
      </c>
      <c r="N28" s="56"/>
      <c r="O28" s="119"/>
      <c r="P28" s="119"/>
      <c r="Q28" s="119"/>
      <c r="R28" s="119"/>
      <c r="U28" s="114"/>
    </row>
    <row r="29" spans="1:21" ht="18.75" x14ac:dyDescent="0.55000000000000004">
      <c r="A29" s="3"/>
      <c r="B29" s="3"/>
      <c r="C29" s="3"/>
      <c r="D29" s="3"/>
      <c r="E29" s="3"/>
      <c r="F29" s="3"/>
      <c r="G29" s="3"/>
      <c r="H29" s="156" t="s">
        <v>104</v>
      </c>
      <c r="I29" s="156"/>
      <c r="J29" s="156"/>
      <c r="K29" s="26">
        <f>K27-F27</f>
        <v>18025407.357697368</v>
      </c>
      <c r="L29" s="56"/>
      <c r="M29" s="56"/>
      <c r="N29" s="56"/>
      <c r="O29" s="119"/>
      <c r="P29" s="119"/>
      <c r="Q29" s="119"/>
      <c r="R29" s="119"/>
      <c r="U29" s="114"/>
    </row>
    <row r="30" spans="1:21" ht="18.75" x14ac:dyDescent="0.55000000000000004">
      <c r="A30" s="3"/>
      <c r="B30" s="3"/>
      <c r="C30" s="3"/>
      <c r="D30" s="3"/>
      <c r="E30" s="52"/>
      <c r="F30" s="4"/>
      <c r="G30" s="4"/>
      <c r="H30" s="156" t="s">
        <v>103</v>
      </c>
      <c r="I30" s="156"/>
      <c r="J30" s="156"/>
      <c r="K30" s="27">
        <f>K29/F27</f>
        <v>0.19856964519724771</v>
      </c>
      <c r="L30" s="56"/>
      <c r="M30" s="56"/>
      <c r="N30" s="56"/>
      <c r="O30" s="119"/>
      <c r="P30" s="119"/>
      <c r="Q30" s="119"/>
      <c r="R30" s="119"/>
      <c r="U30" s="114"/>
    </row>
    <row r="31" spans="1:21" ht="22.5" x14ac:dyDescent="0.65">
      <c r="A31" s="3"/>
      <c r="B31" s="3"/>
      <c r="C31" s="3"/>
      <c r="D31" s="3"/>
      <c r="E31" s="3"/>
      <c r="F31" s="5"/>
      <c r="G31" s="5"/>
      <c r="H31" s="5"/>
      <c r="I31" s="6"/>
      <c r="J31" s="6"/>
      <c r="K31" s="6"/>
      <c r="M31" s="119"/>
      <c r="N31" s="119"/>
      <c r="O31" s="119"/>
      <c r="P31" s="119"/>
      <c r="Q31" s="119"/>
      <c r="R31" s="119"/>
      <c r="U31" s="114"/>
    </row>
    <row r="32" spans="1:21" ht="63" customHeight="1" x14ac:dyDescent="0.55000000000000004">
      <c r="A32" s="155" t="s">
        <v>108</v>
      </c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M32" s="119"/>
      <c r="N32" s="119"/>
      <c r="O32" s="119"/>
      <c r="P32" s="119"/>
      <c r="Q32" s="119"/>
      <c r="R32" s="119"/>
      <c r="U32" s="114"/>
    </row>
    <row r="33" spans="1:21" ht="18.75" x14ac:dyDescent="0.55000000000000004">
      <c r="A33" s="13" t="s">
        <v>52</v>
      </c>
      <c r="B33" s="13"/>
      <c r="C33" s="13">
        <v>1.5</v>
      </c>
      <c r="D33" s="3"/>
      <c r="E33" s="3"/>
      <c r="F33" s="3"/>
      <c r="G33" s="3"/>
      <c r="H33" s="3"/>
      <c r="I33" s="3"/>
      <c r="J33" s="3"/>
      <c r="K33" s="3"/>
      <c r="M33" s="119"/>
      <c r="N33" s="119"/>
      <c r="O33" s="119"/>
      <c r="P33" s="119"/>
      <c r="Q33" s="119"/>
      <c r="R33" s="119"/>
      <c r="U33" s="114"/>
    </row>
    <row r="34" spans="1:21" ht="18.75" x14ac:dyDescent="0.5500000000000000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M34" s="119"/>
      <c r="N34" s="119"/>
      <c r="O34" s="119"/>
      <c r="P34" s="119"/>
      <c r="Q34" s="119"/>
      <c r="R34" s="119"/>
      <c r="U34" s="114"/>
    </row>
    <row r="35" spans="1:21" ht="22.5" x14ac:dyDescent="0.2">
      <c r="A35" s="151" t="s">
        <v>68</v>
      </c>
      <c r="B35" s="152"/>
      <c r="C35" s="109" t="s">
        <v>6</v>
      </c>
      <c r="D35" s="40"/>
      <c r="E35" s="40"/>
      <c r="F35" s="147" t="s">
        <v>81</v>
      </c>
      <c r="G35" s="147"/>
      <c r="H35" s="147"/>
      <c r="I35" s="147"/>
      <c r="J35" s="147"/>
      <c r="K35" s="147"/>
      <c r="M35" s="119"/>
      <c r="N35" s="119"/>
      <c r="O35" s="119"/>
      <c r="P35" s="119"/>
      <c r="Q35" s="119"/>
      <c r="R35" s="119"/>
      <c r="U35" s="114"/>
    </row>
    <row r="36" spans="1:21" ht="22.5" x14ac:dyDescent="0.2">
      <c r="A36" s="41"/>
      <c r="B36" s="8">
        <f>IF(C35=A42,"1",+IF(C35=A43,2,+IF(C35=A44,"3",+IF(C35=A45,4,+IF(C35=A46,5,+IF(C35=A47,6,0))))))</f>
        <v>6</v>
      </c>
      <c r="C36" s="42"/>
      <c r="D36" s="43"/>
      <c r="E36" s="40"/>
      <c r="F36" s="134" t="s">
        <v>18</v>
      </c>
      <c r="G36" s="135"/>
      <c r="H36" s="136"/>
      <c r="I36" s="49" t="s">
        <v>11</v>
      </c>
      <c r="J36" s="50" t="s">
        <v>12</v>
      </c>
      <c r="K36" s="49" t="s">
        <v>13</v>
      </c>
      <c r="M36" s="119"/>
      <c r="N36" s="119"/>
      <c r="O36" s="119"/>
      <c r="P36" s="119"/>
      <c r="Q36" s="119"/>
      <c r="R36" s="119"/>
      <c r="U36" s="114"/>
    </row>
    <row r="37" spans="1:21" ht="22.5" x14ac:dyDescent="0.2">
      <c r="A37" s="153" t="s">
        <v>49</v>
      </c>
      <c r="B37" s="154"/>
      <c r="C37" s="110">
        <v>1000</v>
      </c>
      <c r="D37" s="40"/>
      <c r="E37" s="40"/>
      <c r="F37" s="137" t="s">
        <v>19</v>
      </c>
      <c r="G37" s="138"/>
      <c r="H37" s="139"/>
      <c r="I37" s="110"/>
      <c r="J37" s="110"/>
      <c r="K37" s="110"/>
      <c r="M37" s="119"/>
      <c r="N37" s="119"/>
      <c r="O37" s="119"/>
      <c r="P37" s="119"/>
      <c r="Q37" s="119"/>
      <c r="R37" s="119"/>
      <c r="U37" s="114"/>
    </row>
    <row r="38" spans="1:21" ht="22.5" x14ac:dyDescent="0.2">
      <c r="A38" s="40"/>
      <c r="B38" s="40"/>
      <c r="C38" s="39"/>
      <c r="D38" s="39"/>
      <c r="E38" s="39"/>
      <c r="F38" s="137" t="s">
        <v>20</v>
      </c>
      <c r="G38" s="138"/>
      <c r="H38" s="139"/>
      <c r="I38" s="110"/>
      <c r="J38" s="110"/>
      <c r="K38" s="110"/>
      <c r="M38" s="119"/>
      <c r="N38" s="119"/>
      <c r="O38" s="119"/>
      <c r="P38" s="119"/>
      <c r="Q38" s="119"/>
      <c r="R38" s="119"/>
      <c r="U38" s="114"/>
    </row>
    <row r="39" spans="1:21" ht="22.5" x14ac:dyDescent="0.2">
      <c r="A39" s="40"/>
      <c r="B39" s="40"/>
      <c r="C39" s="39"/>
      <c r="D39" s="39"/>
      <c r="E39" s="39"/>
      <c r="F39" s="44"/>
      <c r="G39" s="44"/>
      <c r="H39" s="44"/>
      <c r="I39" s="44"/>
      <c r="J39" s="44"/>
      <c r="K39" s="44"/>
      <c r="M39" s="119"/>
      <c r="N39" s="119"/>
      <c r="O39" s="119"/>
      <c r="P39" s="119"/>
      <c r="Q39" s="119"/>
      <c r="R39" s="119"/>
      <c r="U39" s="114"/>
    </row>
    <row r="40" spans="1:21" ht="22.5" x14ac:dyDescent="0.2">
      <c r="A40" s="137" t="s">
        <v>50</v>
      </c>
      <c r="B40" s="138"/>
      <c r="C40" s="138"/>
      <c r="D40" s="139"/>
      <c r="E40" s="44"/>
      <c r="F40" s="137" t="s">
        <v>51</v>
      </c>
      <c r="G40" s="138"/>
      <c r="H40" s="138"/>
      <c r="I40" s="138"/>
      <c r="J40" s="138"/>
      <c r="K40" s="139"/>
      <c r="M40" s="119"/>
      <c r="N40" s="119"/>
      <c r="O40" s="119"/>
      <c r="P40" s="119"/>
      <c r="Q40" s="119"/>
      <c r="R40" s="119"/>
      <c r="U40" s="114"/>
    </row>
    <row r="41" spans="1:21" ht="22.5" x14ac:dyDescent="0.2">
      <c r="A41" s="48" t="s">
        <v>70</v>
      </c>
      <c r="B41" s="49" t="s">
        <v>11</v>
      </c>
      <c r="C41" s="49" t="s">
        <v>12</v>
      </c>
      <c r="D41" s="49" t="s">
        <v>13</v>
      </c>
      <c r="E41" s="44"/>
      <c r="F41" s="134" t="s">
        <v>15</v>
      </c>
      <c r="G41" s="135"/>
      <c r="H41" s="136"/>
      <c r="I41" s="49" t="s">
        <v>11</v>
      </c>
      <c r="J41" s="49" t="s">
        <v>12</v>
      </c>
      <c r="K41" s="49" t="s">
        <v>13</v>
      </c>
      <c r="M41" s="119"/>
      <c r="N41" s="119"/>
      <c r="O41" s="119"/>
      <c r="P41" s="119"/>
      <c r="Q41" s="119"/>
      <c r="R41" s="119"/>
      <c r="U41" s="114"/>
    </row>
    <row r="42" spans="1:21" ht="22.5" x14ac:dyDescent="0.2">
      <c r="A42" s="33" t="s">
        <v>1</v>
      </c>
      <c r="B42" s="110"/>
      <c r="C42" s="110"/>
      <c r="D42" s="110"/>
      <c r="E42" s="36"/>
      <c r="F42" s="140" t="s">
        <v>1</v>
      </c>
      <c r="G42" s="141"/>
      <c r="H42" s="142"/>
      <c r="I42" s="110"/>
      <c r="J42" s="110"/>
      <c r="K42" s="110"/>
      <c r="M42" s="119"/>
      <c r="N42" s="119"/>
      <c r="O42" s="119"/>
      <c r="P42" s="119"/>
      <c r="Q42" s="119"/>
      <c r="R42" s="119"/>
      <c r="U42" s="114"/>
    </row>
    <row r="43" spans="1:21" ht="22.5" x14ac:dyDescent="0.2">
      <c r="A43" s="33" t="s">
        <v>2</v>
      </c>
      <c r="B43" s="110"/>
      <c r="C43" s="110"/>
      <c r="D43" s="110"/>
      <c r="E43" s="36"/>
      <c r="F43" s="143" t="s">
        <v>2</v>
      </c>
      <c r="G43" s="144"/>
      <c r="H43" s="145"/>
      <c r="I43" s="110"/>
      <c r="J43" s="110"/>
      <c r="K43" s="110"/>
      <c r="M43" s="119"/>
      <c r="N43" s="119"/>
      <c r="O43" s="119"/>
      <c r="P43" s="119"/>
      <c r="Q43" s="119"/>
      <c r="R43" s="119"/>
      <c r="U43" s="114"/>
    </row>
    <row r="44" spans="1:21" ht="22.5" x14ac:dyDescent="0.2">
      <c r="A44" s="33" t="s">
        <v>3</v>
      </c>
      <c r="B44" s="110"/>
      <c r="C44" s="110"/>
      <c r="D44" s="110"/>
      <c r="E44" s="36"/>
      <c r="F44" s="143" t="s">
        <v>3</v>
      </c>
      <c r="G44" s="144"/>
      <c r="H44" s="145"/>
      <c r="I44" s="110"/>
      <c r="J44" s="110"/>
      <c r="K44" s="110"/>
      <c r="M44" s="119"/>
      <c r="N44" s="119"/>
      <c r="O44" s="119"/>
      <c r="P44" s="119"/>
      <c r="Q44" s="119"/>
      <c r="R44" s="119"/>
      <c r="U44" s="114"/>
    </row>
    <row r="45" spans="1:21" ht="22.5" x14ac:dyDescent="0.2">
      <c r="A45" s="33" t="s">
        <v>4</v>
      </c>
      <c r="B45" s="110"/>
      <c r="C45" s="110"/>
      <c r="D45" s="110"/>
      <c r="E45" s="36"/>
      <c r="F45" s="143" t="s">
        <v>4</v>
      </c>
      <c r="G45" s="144"/>
      <c r="H45" s="145"/>
      <c r="I45" s="110"/>
      <c r="J45" s="110"/>
      <c r="K45" s="110"/>
      <c r="M45" s="119"/>
      <c r="N45" s="119"/>
      <c r="O45" s="119"/>
      <c r="P45" s="119"/>
      <c r="Q45" s="119"/>
      <c r="R45" s="119"/>
      <c r="U45" s="114"/>
    </row>
    <row r="46" spans="1:21" ht="22.5" x14ac:dyDescent="0.2">
      <c r="A46" s="33" t="s">
        <v>5</v>
      </c>
      <c r="B46" s="110"/>
      <c r="C46" s="110"/>
      <c r="D46" s="110"/>
      <c r="E46" s="36"/>
      <c r="F46" s="143" t="s">
        <v>5</v>
      </c>
      <c r="G46" s="144"/>
      <c r="H46" s="145"/>
      <c r="I46" s="110"/>
      <c r="J46" s="110"/>
      <c r="K46" s="110"/>
      <c r="M46" s="119"/>
      <c r="N46" s="119"/>
      <c r="O46" s="119"/>
      <c r="P46" s="119"/>
      <c r="Q46" s="119"/>
      <c r="R46" s="119"/>
      <c r="U46" s="114"/>
    </row>
    <row r="47" spans="1:21" ht="22.5" x14ac:dyDescent="0.2">
      <c r="A47" s="33" t="s">
        <v>6</v>
      </c>
      <c r="B47" s="110"/>
      <c r="C47" s="110"/>
      <c r="D47" s="110"/>
      <c r="E47" s="36"/>
      <c r="F47" s="143" t="s">
        <v>6</v>
      </c>
      <c r="G47" s="144"/>
      <c r="H47" s="145"/>
      <c r="I47" s="110"/>
      <c r="J47" s="110"/>
      <c r="K47" s="110"/>
      <c r="M47" s="119"/>
      <c r="N47" s="119"/>
      <c r="O47" s="119"/>
      <c r="P47" s="119"/>
      <c r="Q47" s="119"/>
      <c r="R47" s="119"/>
      <c r="U47" s="114"/>
    </row>
    <row r="48" spans="1:21" ht="22.5" x14ac:dyDescent="0.2">
      <c r="A48" s="37" t="s">
        <v>83</v>
      </c>
      <c r="B48" s="38">
        <f>'جزییات حق شاغل رسمی'!J37</f>
        <v>0</v>
      </c>
      <c r="C48" s="38">
        <f>'جزییات حق شاغل رسمی'!K37</f>
        <v>0</v>
      </c>
      <c r="D48" s="38">
        <f>'جزییات حق شاغل رسمی'!L37</f>
        <v>0</v>
      </c>
      <c r="E48" s="44"/>
      <c r="F48" s="131" t="s">
        <v>82</v>
      </c>
      <c r="G48" s="132"/>
      <c r="H48" s="133"/>
      <c r="I48" s="38">
        <f>'جزییات حق شاغل رسمی'!J47</f>
        <v>0</v>
      </c>
      <c r="J48" s="38">
        <f>'جزییات حق شاغل رسمی'!K47</f>
        <v>0</v>
      </c>
      <c r="K48" s="38">
        <f>'جزییات حق شاغل رسمی'!L47</f>
        <v>0</v>
      </c>
      <c r="M48" s="119"/>
      <c r="N48" s="119"/>
      <c r="O48" s="119"/>
      <c r="P48" s="119"/>
      <c r="Q48" s="119"/>
      <c r="R48" s="119"/>
      <c r="U48" s="114"/>
    </row>
    <row r="49" spans="1:21" ht="22.5" x14ac:dyDescent="0.2">
      <c r="A49" s="39"/>
      <c r="B49" s="39"/>
      <c r="C49" s="39"/>
      <c r="D49" s="39"/>
      <c r="E49" s="44"/>
      <c r="F49" s="44"/>
      <c r="G49" s="44"/>
      <c r="H49" s="44"/>
      <c r="I49" s="44"/>
      <c r="J49" s="44"/>
      <c r="K49" s="44"/>
      <c r="M49" s="119"/>
      <c r="N49" s="119"/>
      <c r="O49" s="119"/>
      <c r="P49" s="119"/>
      <c r="Q49" s="119"/>
      <c r="R49" s="119"/>
      <c r="U49" s="114"/>
    </row>
    <row r="50" spans="1:21" ht="18.75" x14ac:dyDescent="0.55000000000000004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U50" s="114"/>
    </row>
    <row r="51" spans="1:21" ht="18.75" x14ac:dyDescent="0.55000000000000004">
      <c r="E51" s="10"/>
      <c r="U51" s="114"/>
    </row>
    <row r="52" spans="1:21" x14ac:dyDescent="0.2">
      <c r="U52" s="114"/>
    </row>
  </sheetData>
  <sheetProtection algorithmName="SHA-512" hashValue="Zb7dBThRi4DdxGQF9/scQa+vYklxHsDXkxXY2r/ChjcQHqpvCzOLp/K53xhAYuhmp6zECLDSX3bD9xhu0Qd18Q==" saltValue="k1g1HFqSUm9Xgbf0xg5EQA==" spinCount="100000" sheet="1" objects="1" scenarios="1"/>
  <mergeCells count="90">
    <mergeCell ref="H3:K3"/>
    <mergeCell ref="H4:I4"/>
    <mergeCell ref="H18:I18"/>
    <mergeCell ref="A27:E27"/>
    <mergeCell ref="H27:J27"/>
    <mergeCell ref="H13:I13"/>
    <mergeCell ref="H12:I12"/>
    <mergeCell ref="H11:I11"/>
    <mergeCell ref="H10:I10"/>
    <mergeCell ref="H9:I9"/>
    <mergeCell ref="B5:C5"/>
    <mergeCell ref="D13:E13"/>
    <mergeCell ref="D21:E21"/>
    <mergeCell ref="D20:E20"/>
    <mergeCell ref="B6:C6"/>
    <mergeCell ref="D12:E12"/>
    <mergeCell ref="A2:K2"/>
    <mergeCell ref="A5:A7"/>
    <mergeCell ref="A13:C13"/>
    <mergeCell ref="A14:C14"/>
    <mergeCell ref="A9:C9"/>
    <mergeCell ref="D4:E4"/>
    <mergeCell ref="D5:E5"/>
    <mergeCell ref="D6:E6"/>
    <mergeCell ref="D7:E7"/>
    <mergeCell ref="D8:E8"/>
    <mergeCell ref="D9:E9"/>
    <mergeCell ref="A4:C4"/>
    <mergeCell ref="A3:F3"/>
    <mergeCell ref="H5:H7"/>
    <mergeCell ref="H8:I8"/>
    <mergeCell ref="H14:I14"/>
    <mergeCell ref="D16:E16"/>
    <mergeCell ref="D15:E15"/>
    <mergeCell ref="A16:C16"/>
    <mergeCell ref="A15:C15"/>
    <mergeCell ref="H17:I17"/>
    <mergeCell ref="H16:I16"/>
    <mergeCell ref="H15:I15"/>
    <mergeCell ref="D19:E19"/>
    <mergeCell ref="F40:K40"/>
    <mergeCell ref="A35:B35"/>
    <mergeCell ref="A37:B37"/>
    <mergeCell ref="A17:C17"/>
    <mergeCell ref="A32:K32"/>
    <mergeCell ref="H22:I22"/>
    <mergeCell ref="H21:I21"/>
    <mergeCell ref="H20:I20"/>
    <mergeCell ref="H19:I19"/>
    <mergeCell ref="H29:J29"/>
    <mergeCell ref="H30:J30"/>
    <mergeCell ref="D22:E22"/>
    <mergeCell ref="H24:I24"/>
    <mergeCell ref="A24:C24"/>
    <mergeCell ref="D24:E24"/>
    <mergeCell ref="D11:E11"/>
    <mergeCell ref="D10:E10"/>
    <mergeCell ref="A8:C8"/>
    <mergeCell ref="B7:C7"/>
    <mergeCell ref="A10:C10"/>
    <mergeCell ref="A11:C11"/>
    <mergeCell ref="A12:C12"/>
    <mergeCell ref="A18:C18"/>
    <mergeCell ref="F45:H45"/>
    <mergeCell ref="F46:H46"/>
    <mergeCell ref="F47:H47"/>
    <mergeCell ref="F35:K35"/>
    <mergeCell ref="A40:D40"/>
    <mergeCell ref="D23:E23"/>
    <mergeCell ref="A20:C20"/>
    <mergeCell ref="D14:E14"/>
    <mergeCell ref="A19:C19"/>
    <mergeCell ref="A23:C23"/>
    <mergeCell ref="A22:C22"/>
    <mergeCell ref="A21:C21"/>
    <mergeCell ref="D18:E18"/>
    <mergeCell ref="D17:E17"/>
    <mergeCell ref="A25:C25"/>
    <mergeCell ref="A26:C26"/>
    <mergeCell ref="H23:I23"/>
    <mergeCell ref="F48:H48"/>
    <mergeCell ref="F36:H36"/>
    <mergeCell ref="F37:H37"/>
    <mergeCell ref="F38:H38"/>
    <mergeCell ref="F41:H41"/>
    <mergeCell ref="F42:H42"/>
    <mergeCell ref="F43:H43"/>
    <mergeCell ref="F44:H44"/>
    <mergeCell ref="H25:I25"/>
    <mergeCell ref="H26:I26"/>
  </mergeCells>
  <dataValidations count="1">
    <dataValidation allowBlank="1" showInputMessage="1" showErrorMessage="1" errorTitle="توضیحات رو نخوندی" error="فقط خانه های زرد رنگ رو تکمیل کن" sqref="H5 J4:J7 I5:I7 D28:E29 C36:C1048576 G39:H40 I28:J28 G49:J1048576 E4 K24:K1048576 F4:G27 B4:C23 G28:G35 H29:H35 I31:J48 A2:A1048576 D30:F1048576 C28:C34 E8:E23 B28:B1048576 D4:D26 K4:K22 L2:XFD1048576"/>
  </dataValidations>
  <printOptions horizontalCentered="1"/>
  <pageMargins left="0.7" right="0.7" top="0.75" bottom="0.75" header="0.3" footer="0.3"/>
  <pageSetup paperSize="9" scale="50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'جزییات حق شاغل رسمی'!$A$2:$A$7</xm:f>
          </x14:formula1>
          <xm:sqref>C35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V95"/>
  <sheetViews>
    <sheetView rightToLeft="1" topLeftCell="A70" workbookViewId="0">
      <selection activeCell="A70" sqref="A1:XFD1048576"/>
    </sheetView>
  </sheetViews>
  <sheetFormatPr defaultColWidth="9.140625" defaultRowHeight="12.75" x14ac:dyDescent="0.2"/>
  <cols>
    <col min="1" max="1" width="16.28515625" style="59" customWidth="1"/>
    <col min="2" max="4" width="9.140625" style="59"/>
    <col min="5" max="5" width="10.42578125" style="59" customWidth="1"/>
    <col min="6" max="12" width="9.140625" style="59"/>
    <col min="13" max="13" width="8.7109375" style="59" customWidth="1"/>
    <col min="14" max="14" width="9.140625" style="59"/>
    <col min="15" max="15" width="37.85546875" style="59" bestFit="1" customWidth="1"/>
    <col min="16" max="16" width="14" style="59" bestFit="1" customWidth="1"/>
    <col min="17" max="17" width="14" style="59" customWidth="1"/>
    <col min="18" max="18" width="14.85546875" style="59" customWidth="1"/>
    <col min="19" max="19" width="9.42578125" style="59" bestFit="1" customWidth="1"/>
    <col min="20" max="20" width="9.140625" style="59"/>
    <col min="21" max="21" width="12.85546875" style="59" bestFit="1" customWidth="1"/>
    <col min="22" max="22" width="11.28515625" style="59" bestFit="1" customWidth="1"/>
    <col min="23" max="16384" width="9.140625" style="59"/>
  </cols>
  <sheetData>
    <row r="1" spans="1:17" x14ac:dyDescent="0.2">
      <c r="A1" s="65" t="s">
        <v>0</v>
      </c>
      <c r="B1" s="59">
        <f>'رسمی پیمانی'!B36</f>
        <v>6</v>
      </c>
      <c r="E1" s="66"/>
      <c r="G1" s="67"/>
      <c r="H1" s="67"/>
      <c r="I1" s="67"/>
      <c r="J1" s="67"/>
      <c r="K1" s="67"/>
      <c r="L1" s="65"/>
    </row>
    <row r="2" spans="1:17" x14ac:dyDescent="0.2">
      <c r="A2" s="59" t="s">
        <v>1</v>
      </c>
      <c r="B2" s="68">
        <v>1</v>
      </c>
      <c r="L2" s="65"/>
    </row>
    <row r="3" spans="1:17" x14ac:dyDescent="0.2">
      <c r="A3" s="59" t="s">
        <v>2</v>
      </c>
      <c r="B3" s="68">
        <v>2</v>
      </c>
      <c r="L3" s="65"/>
    </row>
    <row r="4" spans="1:17" x14ac:dyDescent="0.2">
      <c r="A4" s="59" t="s">
        <v>3</v>
      </c>
      <c r="B4" s="68">
        <v>3</v>
      </c>
    </row>
    <row r="5" spans="1:17" x14ac:dyDescent="0.2">
      <c r="A5" s="59" t="s">
        <v>4</v>
      </c>
      <c r="B5" s="68">
        <v>4</v>
      </c>
    </row>
    <row r="6" spans="1:17" ht="22.5" x14ac:dyDescent="0.65">
      <c r="A6" s="59" t="s">
        <v>5</v>
      </c>
      <c r="B6" s="68">
        <v>5</v>
      </c>
      <c r="O6" s="69"/>
    </row>
    <row r="7" spans="1:17" ht="22.5" x14ac:dyDescent="0.65">
      <c r="A7" s="59" t="s">
        <v>6</v>
      </c>
      <c r="B7" s="68">
        <v>6</v>
      </c>
      <c r="O7" s="69"/>
    </row>
    <row r="8" spans="1:17" ht="22.5" x14ac:dyDescent="0.65">
      <c r="A8" s="65" t="str">
        <f>CHOOSE(B1,A2,A3,A4,A5,A6,A7)</f>
        <v>دكتري</v>
      </c>
      <c r="B8" s="70">
        <f>CHOOSE(B1,1100,1200,1400,1700,2000,2300)</f>
        <v>2300</v>
      </c>
      <c r="O8" s="69"/>
      <c r="P8" s="60"/>
      <c r="Q8" s="60"/>
    </row>
    <row r="9" spans="1:17" ht="22.5" x14ac:dyDescent="0.65">
      <c r="O9" s="69"/>
    </row>
    <row r="10" spans="1:17" ht="22.5" x14ac:dyDescent="0.65">
      <c r="A10" s="65" t="s">
        <v>8</v>
      </c>
      <c r="B10" s="60">
        <f>'رسمی پیمانی'!C37</f>
        <v>1000</v>
      </c>
      <c r="C10" s="59">
        <f>ROUND(B10/2,0)</f>
        <v>500</v>
      </c>
      <c r="O10" s="69"/>
    </row>
    <row r="11" spans="1:17" ht="22.5" x14ac:dyDescent="0.65">
      <c r="B11" s="70">
        <f>IF(C10&lt;500,C10,500)</f>
        <v>500</v>
      </c>
      <c r="O11" s="69"/>
    </row>
    <row r="12" spans="1:17" ht="22.5" x14ac:dyDescent="0.65">
      <c r="B12" s="59" t="s">
        <v>46</v>
      </c>
      <c r="O12" s="69"/>
    </row>
    <row r="13" spans="1:17" ht="22.5" x14ac:dyDescent="0.65">
      <c r="A13" s="65" t="s">
        <v>9</v>
      </c>
      <c r="B13" s="59">
        <f>'رسمی پیمانی'!B36</f>
        <v>6</v>
      </c>
      <c r="C13" s="63"/>
      <c r="O13" s="69"/>
    </row>
    <row r="14" spans="1:17" ht="22.5" x14ac:dyDescent="0.65">
      <c r="A14" s="59" t="s">
        <v>1</v>
      </c>
      <c r="B14" s="68">
        <v>1</v>
      </c>
      <c r="O14" s="69"/>
    </row>
    <row r="15" spans="1:17" ht="22.5" x14ac:dyDescent="0.65">
      <c r="A15" s="59" t="s">
        <v>2</v>
      </c>
      <c r="B15" s="68">
        <v>2</v>
      </c>
      <c r="O15" s="69"/>
    </row>
    <row r="16" spans="1:17" ht="22.5" x14ac:dyDescent="0.65">
      <c r="A16" s="59" t="s">
        <v>3</v>
      </c>
      <c r="B16" s="68">
        <v>3</v>
      </c>
      <c r="O16" s="69"/>
    </row>
    <row r="17" spans="1:17" ht="22.5" x14ac:dyDescent="0.65">
      <c r="A17" s="59" t="s">
        <v>4</v>
      </c>
      <c r="B17" s="68">
        <v>4</v>
      </c>
      <c r="O17" s="69"/>
    </row>
    <row r="18" spans="1:17" ht="22.5" x14ac:dyDescent="0.65">
      <c r="A18" s="59" t="s">
        <v>5</v>
      </c>
      <c r="B18" s="68">
        <v>5</v>
      </c>
      <c r="O18" s="69"/>
    </row>
    <row r="19" spans="1:17" ht="22.5" x14ac:dyDescent="0.65">
      <c r="A19" s="59" t="s">
        <v>6</v>
      </c>
      <c r="B19" s="68">
        <v>6</v>
      </c>
      <c r="O19" s="69"/>
      <c r="P19" s="60"/>
      <c r="Q19" s="60"/>
    </row>
    <row r="20" spans="1:17" ht="22.5" x14ac:dyDescent="0.65">
      <c r="A20" s="65" t="str">
        <f>CHOOSE(B13,A14,A15,A16,A17,A18,A19)</f>
        <v>دكتري</v>
      </c>
      <c r="B20" s="70">
        <f>CHOOSE(B13,200,250,300,400,600,800)</f>
        <v>800</v>
      </c>
      <c r="O20" s="69"/>
    </row>
    <row r="21" spans="1:17" ht="22.5" x14ac:dyDescent="0.65">
      <c r="O21" s="69"/>
    </row>
    <row r="22" spans="1:17" ht="22.5" x14ac:dyDescent="0.65">
      <c r="J22" s="63" t="s">
        <v>11</v>
      </c>
      <c r="K22" s="63" t="s">
        <v>12</v>
      </c>
      <c r="L22" s="63" t="s">
        <v>13</v>
      </c>
      <c r="O22" s="69"/>
    </row>
    <row r="23" spans="1:17" x14ac:dyDescent="0.2">
      <c r="K23" s="60">
        <f>J38</f>
        <v>0</v>
      </c>
      <c r="L23" s="60">
        <f>K38</f>
        <v>0</v>
      </c>
    </row>
    <row r="24" spans="1:17" x14ac:dyDescent="0.2">
      <c r="A24" s="71" t="s">
        <v>10</v>
      </c>
      <c r="B24" s="63" t="s">
        <v>11</v>
      </c>
      <c r="C24" s="63" t="s">
        <v>12</v>
      </c>
      <c r="D24" s="63" t="s">
        <v>13</v>
      </c>
      <c r="E24" s="59" t="s">
        <v>14</v>
      </c>
      <c r="G24" s="72" t="s">
        <v>27</v>
      </c>
      <c r="J24" s="73">
        <f t="shared" ref="J24:L29" si="0">B25</f>
        <v>0</v>
      </c>
      <c r="K24" s="73">
        <f t="shared" si="0"/>
        <v>0</v>
      </c>
      <c r="L24" s="73">
        <f t="shared" si="0"/>
        <v>0</v>
      </c>
      <c r="O24" s="74"/>
      <c r="P24" s="75"/>
      <c r="Q24" s="75"/>
    </row>
    <row r="25" spans="1:17" ht="22.5" x14ac:dyDescent="0.65">
      <c r="A25" s="59" t="s">
        <v>1</v>
      </c>
      <c r="B25" s="73">
        <f>'رسمی پیمانی'!B42</f>
        <v>0</v>
      </c>
      <c r="C25" s="73">
        <f>'رسمی پیمانی'!C42</f>
        <v>0</v>
      </c>
      <c r="D25" s="73">
        <f>'رسمی پیمانی'!D42</f>
        <v>0</v>
      </c>
      <c r="E25" s="73">
        <f t="shared" ref="E25:E31" si="1">D25*360+C25*30+B25</f>
        <v>0</v>
      </c>
      <c r="F25" s="68">
        <f>ROUND(E25*10/360,0)</f>
        <v>0</v>
      </c>
      <c r="G25" s="72">
        <v>10</v>
      </c>
      <c r="J25" s="73">
        <f t="shared" si="0"/>
        <v>0</v>
      </c>
      <c r="K25" s="73">
        <f t="shared" si="0"/>
        <v>0</v>
      </c>
      <c r="L25" s="73">
        <f t="shared" si="0"/>
        <v>0</v>
      </c>
      <c r="O25" s="69"/>
      <c r="P25" s="75"/>
      <c r="Q25" s="75"/>
    </row>
    <row r="26" spans="1:17" ht="22.5" x14ac:dyDescent="0.65">
      <c r="A26" s="59" t="s">
        <v>2</v>
      </c>
      <c r="B26" s="73">
        <f>'رسمی پیمانی'!B43</f>
        <v>0</v>
      </c>
      <c r="C26" s="73">
        <f>'رسمی پیمانی'!C43</f>
        <v>0</v>
      </c>
      <c r="D26" s="73">
        <f>'رسمی پیمانی'!D43</f>
        <v>0</v>
      </c>
      <c r="E26" s="73">
        <f t="shared" si="1"/>
        <v>0</v>
      </c>
      <c r="F26" s="68">
        <f>ROUND(E26*15/360,0)</f>
        <v>0</v>
      </c>
      <c r="G26" s="72">
        <v>15</v>
      </c>
      <c r="J26" s="73">
        <f t="shared" si="0"/>
        <v>0</v>
      </c>
      <c r="K26" s="73">
        <f t="shared" si="0"/>
        <v>0</v>
      </c>
      <c r="L26" s="73">
        <f t="shared" si="0"/>
        <v>0</v>
      </c>
      <c r="O26" s="69"/>
    </row>
    <row r="27" spans="1:17" x14ac:dyDescent="0.2">
      <c r="A27" s="59" t="s">
        <v>3</v>
      </c>
      <c r="B27" s="73">
        <f>'رسمی پیمانی'!B44</f>
        <v>0</v>
      </c>
      <c r="C27" s="73">
        <f>'رسمی پیمانی'!C44</f>
        <v>0</v>
      </c>
      <c r="D27" s="73">
        <f>'رسمی پیمانی'!D44</f>
        <v>0</v>
      </c>
      <c r="E27" s="73">
        <f t="shared" si="1"/>
        <v>0</v>
      </c>
      <c r="F27" s="68">
        <f>ROUND(E27*20/360,0)</f>
        <v>0</v>
      </c>
      <c r="G27" s="72">
        <v>20</v>
      </c>
      <c r="J27" s="73">
        <f t="shared" si="0"/>
        <v>0</v>
      </c>
      <c r="K27" s="73">
        <f t="shared" si="0"/>
        <v>0</v>
      </c>
      <c r="L27" s="73">
        <f t="shared" si="0"/>
        <v>0</v>
      </c>
      <c r="O27" s="74"/>
    </row>
    <row r="28" spans="1:17" x14ac:dyDescent="0.2">
      <c r="A28" s="59" t="s">
        <v>4</v>
      </c>
      <c r="B28" s="73">
        <f>'رسمی پیمانی'!B45</f>
        <v>0</v>
      </c>
      <c r="C28" s="73">
        <f>'رسمی پیمانی'!C45</f>
        <v>0</v>
      </c>
      <c r="D28" s="73">
        <f>'رسمی پیمانی'!D45</f>
        <v>0</v>
      </c>
      <c r="E28" s="73">
        <f t="shared" si="1"/>
        <v>0</v>
      </c>
      <c r="F28" s="68">
        <f>ROUND(E28*25/360,0)</f>
        <v>0</v>
      </c>
      <c r="G28" s="72">
        <v>25</v>
      </c>
      <c r="J28" s="73">
        <f t="shared" si="0"/>
        <v>0</v>
      </c>
      <c r="K28" s="73">
        <f t="shared" si="0"/>
        <v>0</v>
      </c>
      <c r="L28" s="73">
        <f t="shared" si="0"/>
        <v>0</v>
      </c>
    </row>
    <row r="29" spans="1:17" x14ac:dyDescent="0.2">
      <c r="A29" s="59" t="s">
        <v>5</v>
      </c>
      <c r="B29" s="73">
        <f>'رسمی پیمانی'!B46</f>
        <v>0</v>
      </c>
      <c r="C29" s="73">
        <f>'رسمی پیمانی'!C46</f>
        <v>0</v>
      </c>
      <c r="D29" s="73">
        <f>'رسمی پیمانی'!D46</f>
        <v>0</v>
      </c>
      <c r="E29" s="73">
        <f t="shared" si="1"/>
        <v>0</v>
      </c>
      <c r="F29" s="68">
        <f>ROUND(E29*30/360,0)</f>
        <v>0</v>
      </c>
      <c r="G29" s="72">
        <v>30</v>
      </c>
      <c r="J29" s="73">
        <f t="shared" si="0"/>
        <v>0</v>
      </c>
      <c r="K29" s="73">
        <f t="shared" si="0"/>
        <v>0</v>
      </c>
      <c r="L29" s="73">
        <f t="shared" si="0"/>
        <v>0</v>
      </c>
    </row>
    <row r="30" spans="1:17" x14ac:dyDescent="0.2">
      <c r="A30" s="59" t="s">
        <v>6</v>
      </c>
      <c r="B30" s="73">
        <f>'رسمی پیمانی'!B47</f>
        <v>0</v>
      </c>
      <c r="C30" s="73">
        <f>'رسمی پیمانی'!C47</f>
        <v>0</v>
      </c>
      <c r="D30" s="73">
        <f>'رسمی پیمانی'!D47</f>
        <v>0</v>
      </c>
      <c r="E30" s="73">
        <f t="shared" si="1"/>
        <v>0</v>
      </c>
      <c r="F30" s="68">
        <f>ROUND(E30*35/360,0)</f>
        <v>0</v>
      </c>
      <c r="G30" s="72">
        <v>35</v>
      </c>
      <c r="J30" s="73"/>
      <c r="K30" s="73"/>
      <c r="L30" s="73"/>
    </row>
    <row r="31" spans="1:17" x14ac:dyDescent="0.2">
      <c r="A31" s="71" t="s">
        <v>17</v>
      </c>
      <c r="B31" s="60"/>
      <c r="C31" s="60"/>
      <c r="D31" s="60"/>
      <c r="E31" s="73">
        <f t="shared" si="1"/>
        <v>0</v>
      </c>
      <c r="F31" s="68"/>
      <c r="J31" s="73">
        <f t="shared" ref="J31:L35" si="2">B32</f>
        <v>0</v>
      </c>
      <c r="K31" s="73">
        <f t="shared" si="2"/>
        <v>0</v>
      </c>
      <c r="L31" s="73">
        <f t="shared" si="2"/>
        <v>0</v>
      </c>
      <c r="P31" s="76"/>
      <c r="Q31" s="76"/>
    </row>
    <row r="32" spans="1:17" x14ac:dyDescent="0.2">
      <c r="A32" s="59" t="s">
        <v>1</v>
      </c>
      <c r="B32" s="60"/>
      <c r="C32" s="60"/>
      <c r="D32" s="60"/>
      <c r="E32" s="73">
        <f>D32*360+C32*30+B32</f>
        <v>0</v>
      </c>
      <c r="F32" s="68">
        <f>ROUND(E32*10/360,0)</f>
        <v>0</v>
      </c>
      <c r="G32" s="72">
        <v>10</v>
      </c>
      <c r="J32" s="73">
        <f t="shared" si="2"/>
        <v>0</v>
      </c>
      <c r="K32" s="73">
        <f t="shared" si="2"/>
        <v>0</v>
      </c>
      <c r="L32" s="73">
        <f t="shared" si="2"/>
        <v>0</v>
      </c>
    </row>
    <row r="33" spans="1:22" x14ac:dyDescent="0.2">
      <c r="A33" s="59" t="s">
        <v>2</v>
      </c>
      <c r="B33" s="60"/>
      <c r="C33" s="60"/>
      <c r="D33" s="60"/>
      <c r="E33" s="73">
        <f>D33*360+C33*30+B33</f>
        <v>0</v>
      </c>
      <c r="F33" s="68">
        <f>ROUND(E33*15/360,0)</f>
        <v>0</v>
      </c>
      <c r="G33" s="72">
        <v>15</v>
      </c>
      <c r="J33" s="73">
        <f t="shared" si="2"/>
        <v>0</v>
      </c>
      <c r="K33" s="73">
        <f t="shared" si="2"/>
        <v>0</v>
      </c>
      <c r="L33" s="73">
        <f t="shared" si="2"/>
        <v>0</v>
      </c>
    </row>
    <row r="34" spans="1:22" ht="22.5" x14ac:dyDescent="0.65">
      <c r="A34" s="59" t="s">
        <v>3</v>
      </c>
      <c r="B34" s="60"/>
      <c r="C34" s="60"/>
      <c r="D34" s="60"/>
      <c r="E34" s="73">
        <f>D34*360+C34*30+B34</f>
        <v>0</v>
      </c>
      <c r="F34" s="68">
        <f>ROUND(E34*20/360,0)</f>
        <v>0</v>
      </c>
      <c r="G34" s="72">
        <v>20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O34" s="69"/>
      <c r="P34" s="75"/>
      <c r="Q34" s="77"/>
      <c r="S34" s="78"/>
      <c r="U34" s="79"/>
      <c r="V34" s="80"/>
    </row>
    <row r="35" spans="1:22" ht="22.5" x14ac:dyDescent="0.65">
      <c r="A35" s="59" t="s">
        <v>4</v>
      </c>
      <c r="B35" s="60"/>
      <c r="C35" s="60"/>
      <c r="D35" s="60"/>
      <c r="E35" s="73">
        <f>D35*360+C35*30+B35</f>
        <v>0</v>
      </c>
      <c r="F35" s="68">
        <f>ROUND(E35*25/360,0)</f>
        <v>0</v>
      </c>
      <c r="G35" s="72">
        <v>25</v>
      </c>
      <c r="J35" s="73">
        <f t="shared" si="2"/>
        <v>0</v>
      </c>
      <c r="K35" s="73">
        <f t="shared" si="2"/>
        <v>0</v>
      </c>
      <c r="L35" s="73">
        <f t="shared" si="2"/>
        <v>0</v>
      </c>
      <c r="O35" s="69"/>
      <c r="P35" s="75"/>
      <c r="Q35" s="77"/>
      <c r="S35" s="78"/>
      <c r="U35" s="79"/>
      <c r="V35" s="79"/>
    </row>
    <row r="36" spans="1:22" ht="22.5" x14ac:dyDescent="0.65">
      <c r="A36" s="59" t="s">
        <v>5</v>
      </c>
      <c r="B36" s="60"/>
      <c r="C36" s="60"/>
      <c r="D36" s="60"/>
      <c r="E36" s="73">
        <f>D36*360+C36*30+B36</f>
        <v>0</v>
      </c>
      <c r="F36" s="68">
        <f>ROUND(E36*30/360,0)</f>
        <v>0</v>
      </c>
      <c r="G36" s="72">
        <v>30</v>
      </c>
      <c r="J36" s="60">
        <f>SUM(J24:J35)</f>
        <v>0</v>
      </c>
      <c r="K36" s="60">
        <f>SUM(K23:K35)</f>
        <v>0</v>
      </c>
      <c r="O36" s="69"/>
      <c r="P36" s="75"/>
      <c r="Q36" s="77"/>
      <c r="S36" s="78"/>
      <c r="U36" s="79"/>
      <c r="V36" s="79"/>
    </row>
    <row r="37" spans="1:22" ht="22.5" x14ac:dyDescent="0.65">
      <c r="A37" s="59" t="s">
        <v>47</v>
      </c>
      <c r="B37" s="73">
        <f>J37</f>
        <v>0</v>
      </c>
      <c r="C37" s="73">
        <f>K37</f>
        <v>0</v>
      </c>
      <c r="D37" s="73">
        <f>L37</f>
        <v>0</v>
      </c>
      <c r="F37" s="70">
        <f>ROUND(SUM(F25:F36),0)</f>
        <v>0</v>
      </c>
      <c r="G37" s="72"/>
      <c r="J37" s="60">
        <f>MOD(J36,30)</f>
        <v>0</v>
      </c>
      <c r="K37" s="60">
        <f>MOD(K36,12)</f>
        <v>0</v>
      </c>
      <c r="L37" s="60">
        <f>SUM(L23:L35)</f>
        <v>0</v>
      </c>
      <c r="O37" s="69"/>
      <c r="P37" s="75"/>
      <c r="Q37" s="77"/>
      <c r="S37" s="78"/>
      <c r="U37" s="79"/>
      <c r="V37" s="79"/>
    </row>
    <row r="38" spans="1:22" ht="22.5" x14ac:dyDescent="0.65">
      <c r="B38" s="63"/>
      <c r="J38" s="60">
        <f>INT((J24+J25+J26+J27+J28+J29+J31+J32+J33+J34+J35)/30)</f>
        <v>0</v>
      </c>
      <c r="K38" s="60">
        <f>INT((K23+K24+K25+K26+K27+K28+K29+K31+K32+K33+K34+K35)/12)</f>
        <v>0</v>
      </c>
      <c r="M38" s="60"/>
      <c r="O38" s="69"/>
      <c r="P38" s="75"/>
      <c r="Q38" s="77"/>
      <c r="S38" s="78"/>
      <c r="U38" s="79"/>
      <c r="V38" s="79"/>
    </row>
    <row r="39" spans="1:22" ht="22.5" x14ac:dyDescent="0.65">
      <c r="J39" s="63" t="s">
        <v>11</v>
      </c>
      <c r="K39" s="73">
        <f>J48</f>
        <v>0</v>
      </c>
      <c r="L39" s="73">
        <f>K48</f>
        <v>0</v>
      </c>
      <c r="O39" s="69"/>
      <c r="P39" s="75"/>
      <c r="Q39" s="77"/>
      <c r="S39" s="78"/>
      <c r="U39" s="79"/>
      <c r="V39" s="79"/>
    </row>
    <row r="40" spans="1:22" ht="22.5" x14ac:dyDescent="0.65">
      <c r="A40" s="71" t="s">
        <v>15</v>
      </c>
      <c r="B40" s="63" t="s">
        <v>11</v>
      </c>
      <c r="C40" s="63" t="s">
        <v>12</v>
      </c>
      <c r="D40" s="63" t="s">
        <v>13</v>
      </c>
      <c r="E40" s="59" t="s">
        <v>16</v>
      </c>
      <c r="G40" s="63" t="s">
        <v>27</v>
      </c>
      <c r="J40" s="60">
        <f t="shared" ref="J40:L45" si="3">B41</f>
        <v>0</v>
      </c>
      <c r="K40" s="60">
        <f t="shared" si="3"/>
        <v>0</v>
      </c>
      <c r="L40" s="60">
        <f t="shared" si="3"/>
        <v>0</v>
      </c>
      <c r="O40" s="69"/>
      <c r="P40" s="75"/>
      <c r="Q40" s="77"/>
      <c r="S40" s="78"/>
      <c r="U40" s="79"/>
      <c r="V40" s="79"/>
    </row>
    <row r="41" spans="1:22" ht="22.5" x14ac:dyDescent="0.65">
      <c r="A41" s="59" t="s">
        <v>1</v>
      </c>
      <c r="B41" s="60">
        <f>'رسمی پیمانی'!I42</f>
        <v>0</v>
      </c>
      <c r="C41" s="60">
        <f>'رسمی پیمانی'!J42</f>
        <v>0</v>
      </c>
      <c r="D41" s="60">
        <f>'رسمی پیمانی'!K42</f>
        <v>0</v>
      </c>
      <c r="E41" s="73">
        <f t="shared" ref="E41:E46" si="4">D41*360+C41*30+B41</f>
        <v>0</v>
      </c>
      <c r="F41" s="81">
        <f>ROUND(E41*8/360,0)</f>
        <v>0</v>
      </c>
      <c r="G41" s="72">
        <v>8</v>
      </c>
      <c r="J41" s="60">
        <f t="shared" si="3"/>
        <v>0</v>
      </c>
      <c r="K41" s="60">
        <f t="shared" si="3"/>
        <v>0</v>
      </c>
      <c r="L41" s="60">
        <f t="shared" si="3"/>
        <v>0</v>
      </c>
      <c r="O41" s="69"/>
      <c r="P41" s="75"/>
      <c r="Q41" s="77"/>
      <c r="S41" s="78"/>
      <c r="U41" s="79"/>
      <c r="V41" s="79"/>
    </row>
    <row r="42" spans="1:22" ht="22.5" x14ac:dyDescent="0.65">
      <c r="A42" s="59" t="s">
        <v>2</v>
      </c>
      <c r="B42" s="60">
        <f>'رسمی پیمانی'!I43</f>
        <v>0</v>
      </c>
      <c r="C42" s="60">
        <f>'رسمی پیمانی'!J43</f>
        <v>0</v>
      </c>
      <c r="D42" s="60">
        <f>'رسمی پیمانی'!K43</f>
        <v>0</v>
      </c>
      <c r="E42" s="73">
        <f t="shared" si="4"/>
        <v>0</v>
      </c>
      <c r="F42" s="81">
        <f>ROUND(E42*10/360,0)</f>
        <v>0</v>
      </c>
      <c r="G42" s="72">
        <v>10</v>
      </c>
      <c r="J42" s="60">
        <f t="shared" si="3"/>
        <v>0</v>
      </c>
      <c r="K42" s="60">
        <f t="shared" si="3"/>
        <v>0</v>
      </c>
      <c r="L42" s="60">
        <f t="shared" si="3"/>
        <v>0</v>
      </c>
      <c r="O42" s="69"/>
      <c r="P42" s="75"/>
      <c r="Q42" s="77"/>
      <c r="S42" s="78"/>
      <c r="U42" s="79"/>
      <c r="V42" s="79"/>
    </row>
    <row r="43" spans="1:22" x14ac:dyDescent="0.2">
      <c r="A43" s="59" t="s">
        <v>3</v>
      </c>
      <c r="B43" s="60">
        <f>'رسمی پیمانی'!I44</f>
        <v>0</v>
      </c>
      <c r="C43" s="60">
        <f>'رسمی پیمانی'!J44</f>
        <v>0</v>
      </c>
      <c r="D43" s="60">
        <f>'رسمی پیمانی'!K44</f>
        <v>0</v>
      </c>
      <c r="E43" s="73">
        <f t="shared" si="4"/>
        <v>0</v>
      </c>
      <c r="F43" s="81">
        <f>ROUND(E43*12/360,0)</f>
        <v>0</v>
      </c>
      <c r="G43" s="72">
        <v>12</v>
      </c>
      <c r="J43" s="60">
        <f t="shared" si="3"/>
        <v>0</v>
      </c>
      <c r="K43" s="60">
        <f t="shared" si="3"/>
        <v>0</v>
      </c>
      <c r="L43" s="60">
        <f t="shared" si="3"/>
        <v>0</v>
      </c>
      <c r="P43" s="79"/>
      <c r="Q43" s="77"/>
      <c r="S43" s="78"/>
      <c r="U43" s="80"/>
      <c r="V43" s="79"/>
    </row>
    <row r="44" spans="1:22" x14ac:dyDescent="0.2">
      <c r="A44" s="59" t="s">
        <v>4</v>
      </c>
      <c r="B44" s="60">
        <f>'رسمی پیمانی'!I45</f>
        <v>0</v>
      </c>
      <c r="C44" s="60">
        <f>'رسمی پیمانی'!J45</f>
        <v>0</v>
      </c>
      <c r="D44" s="60">
        <f>'رسمی پیمانی'!K45</f>
        <v>0</v>
      </c>
      <c r="E44" s="73">
        <f t="shared" si="4"/>
        <v>0</v>
      </c>
      <c r="F44" s="81">
        <f>ROUND(E44*14/360,0)</f>
        <v>0</v>
      </c>
      <c r="G44" s="72">
        <v>14</v>
      </c>
      <c r="J44" s="60">
        <f t="shared" si="3"/>
        <v>0</v>
      </c>
      <c r="K44" s="60">
        <f t="shared" si="3"/>
        <v>0</v>
      </c>
      <c r="L44" s="60">
        <f t="shared" si="3"/>
        <v>0</v>
      </c>
      <c r="P44" s="79"/>
    </row>
    <row r="45" spans="1:22" x14ac:dyDescent="0.2">
      <c r="A45" s="59" t="s">
        <v>5</v>
      </c>
      <c r="B45" s="60">
        <f>'رسمی پیمانی'!I46</f>
        <v>0</v>
      </c>
      <c r="C45" s="60">
        <f>'رسمی پیمانی'!J46</f>
        <v>0</v>
      </c>
      <c r="D45" s="60">
        <f>'رسمی پیمانی'!K46</f>
        <v>0</v>
      </c>
      <c r="E45" s="73">
        <f t="shared" si="4"/>
        <v>0</v>
      </c>
      <c r="F45" s="81">
        <f>ROUND(E45*16/360,0)</f>
        <v>0</v>
      </c>
      <c r="G45" s="72">
        <v>16</v>
      </c>
      <c r="J45" s="60">
        <f t="shared" si="3"/>
        <v>0</v>
      </c>
      <c r="K45" s="60">
        <f t="shared" si="3"/>
        <v>0</v>
      </c>
      <c r="L45" s="60">
        <f t="shared" si="3"/>
        <v>0</v>
      </c>
    </row>
    <row r="46" spans="1:22" x14ac:dyDescent="0.2">
      <c r="A46" s="59" t="s">
        <v>6</v>
      </c>
      <c r="B46" s="60">
        <f>'رسمی پیمانی'!I47</f>
        <v>0</v>
      </c>
      <c r="C46" s="60">
        <f>'رسمی پیمانی'!J47</f>
        <v>0</v>
      </c>
      <c r="D46" s="60">
        <f>'رسمی پیمانی'!K47</f>
        <v>0</v>
      </c>
      <c r="E46" s="73">
        <f t="shared" si="4"/>
        <v>0</v>
      </c>
      <c r="F46" s="81">
        <f>ROUND(E46*18/360,0)</f>
        <v>0</v>
      </c>
      <c r="G46" s="72">
        <v>18</v>
      </c>
      <c r="J46" s="60">
        <f>SUM(J40:J45)</f>
        <v>0</v>
      </c>
      <c r="K46" s="60">
        <f>SUM(K39:K45)</f>
        <v>0</v>
      </c>
    </row>
    <row r="47" spans="1:22" x14ac:dyDescent="0.2">
      <c r="A47" s="59" t="s">
        <v>48</v>
      </c>
      <c r="B47" s="60">
        <f>J47</f>
        <v>0</v>
      </c>
      <c r="C47" s="60">
        <f>K47</f>
        <v>0</v>
      </c>
      <c r="D47" s="60">
        <f>L47</f>
        <v>0</v>
      </c>
      <c r="F47" s="82">
        <f>ROUND(SUM(F41:F46),0)</f>
        <v>0</v>
      </c>
      <c r="J47" s="60">
        <f>MOD(J46,30)</f>
        <v>0</v>
      </c>
      <c r="K47" s="60">
        <f>MOD(K46,12)</f>
        <v>0</v>
      </c>
      <c r="L47" s="60">
        <f>SUM(L39:L45)</f>
        <v>0</v>
      </c>
    </row>
    <row r="48" spans="1:22" x14ac:dyDescent="0.2">
      <c r="J48" s="60">
        <f>INT((J40+J41+J42+J43+J44+J45)/30)</f>
        <v>0</v>
      </c>
      <c r="K48" s="60">
        <f>INT((K39+K40+K41+K42+K43+K44+K45)/12)</f>
        <v>0</v>
      </c>
    </row>
    <row r="49" spans="1:10" x14ac:dyDescent="0.2">
      <c r="A49" s="65" t="s">
        <v>18</v>
      </c>
      <c r="B49" s="63" t="s">
        <v>11</v>
      </c>
      <c r="C49" s="63" t="s">
        <v>12</v>
      </c>
      <c r="D49" s="63" t="s">
        <v>13</v>
      </c>
      <c r="E49" s="59" t="s">
        <v>21</v>
      </c>
    </row>
    <row r="50" spans="1:10" x14ac:dyDescent="0.2">
      <c r="A50" s="59" t="s">
        <v>19</v>
      </c>
      <c r="B50" s="73">
        <f>'رسمی پیمانی'!I37</f>
        <v>0</v>
      </c>
      <c r="C50" s="73">
        <f>'رسمی پیمانی'!J37</f>
        <v>0</v>
      </c>
      <c r="D50" s="73">
        <f>'رسمی پیمانی'!K37</f>
        <v>0</v>
      </c>
      <c r="E50" s="73">
        <f>D50*360+C50*30+B50</f>
        <v>0</v>
      </c>
      <c r="F50" s="83">
        <f>E50/360*0.01</f>
        <v>0</v>
      </c>
      <c r="G50" s="59">
        <f>IF(F50&lt;=0.1,F50,0.1)</f>
        <v>0</v>
      </c>
      <c r="H50" s="60">
        <f>'جزییات حق شاغل قراردادی'!B81</f>
        <v>3100</v>
      </c>
      <c r="I50" s="82">
        <f>ROUND(H50*G50,0)</f>
        <v>0</v>
      </c>
    </row>
    <row r="51" spans="1:10" x14ac:dyDescent="0.2">
      <c r="A51" s="59" t="s">
        <v>20</v>
      </c>
      <c r="B51" s="73">
        <f>'رسمی پیمانی'!I38</f>
        <v>0</v>
      </c>
      <c r="C51" s="73">
        <f>'رسمی پیمانی'!J38</f>
        <v>0</v>
      </c>
      <c r="D51" s="73">
        <f>'رسمی پیمانی'!K38</f>
        <v>0</v>
      </c>
      <c r="E51" s="73">
        <f>D51*360+C51*30+B51</f>
        <v>0</v>
      </c>
      <c r="F51" s="83">
        <f>E51/360*0.02</f>
        <v>0</v>
      </c>
      <c r="G51" s="59">
        <f>IF(F51&lt;=0.2,F51,0.2)</f>
        <v>0</v>
      </c>
      <c r="H51" s="60">
        <f>'جزییات حق شاغل قراردادی'!B81</f>
        <v>3100</v>
      </c>
      <c r="I51" s="82">
        <f>ROUND(H51*G51,0)</f>
        <v>0</v>
      </c>
      <c r="J51" s="60"/>
    </row>
    <row r="52" spans="1:10" x14ac:dyDescent="0.2">
      <c r="G52" s="59">
        <f>SUM(G50:G51)</f>
        <v>0</v>
      </c>
      <c r="I52" s="60">
        <f>SUM(I50:I51)</f>
        <v>0</v>
      </c>
      <c r="J52" s="83">
        <f>IF(G52&gt;=0/2,20%,G52)</f>
        <v>0.2</v>
      </c>
    </row>
    <row r="53" spans="1:10" x14ac:dyDescent="0.2">
      <c r="A53" s="59" t="s">
        <v>23</v>
      </c>
      <c r="B53" s="59" t="s">
        <v>24</v>
      </c>
      <c r="C53" s="59" t="s">
        <v>27</v>
      </c>
      <c r="D53" s="59" t="s">
        <v>26</v>
      </c>
    </row>
    <row r="54" spans="1:10" x14ac:dyDescent="0.2">
      <c r="B54" s="59">
        <v>5</v>
      </c>
      <c r="C54" s="84" t="s">
        <v>29</v>
      </c>
      <c r="D54" s="63">
        <v>400</v>
      </c>
      <c r="F54" s="59" t="s">
        <v>11</v>
      </c>
      <c r="G54" s="59" t="s">
        <v>12</v>
      </c>
      <c r="H54" s="59" t="s">
        <v>13</v>
      </c>
    </row>
    <row r="55" spans="1:10" x14ac:dyDescent="0.2">
      <c r="B55" s="59">
        <v>10</v>
      </c>
      <c r="C55" s="84" t="s">
        <v>30</v>
      </c>
      <c r="D55" s="63">
        <v>500</v>
      </c>
      <c r="E55" s="59" t="s">
        <v>45</v>
      </c>
    </row>
    <row r="56" spans="1:10" x14ac:dyDescent="0.2">
      <c r="B56" s="59">
        <v>15</v>
      </c>
      <c r="C56" s="84" t="s">
        <v>31</v>
      </c>
      <c r="D56" s="63">
        <v>600</v>
      </c>
    </row>
    <row r="57" spans="1:10" x14ac:dyDescent="0.2">
      <c r="B57" s="59">
        <v>20</v>
      </c>
      <c r="C57" s="84" t="s">
        <v>32</v>
      </c>
      <c r="D57" s="63">
        <v>700</v>
      </c>
      <c r="E57" s="59" t="s">
        <v>43</v>
      </c>
    </row>
    <row r="58" spans="1:10" x14ac:dyDescent="0.2">
      <c r="B58" s="59">
        <v>25</v>
      </c>
      <c r="C58" s="84" t="s">
        <v>33</v>
      </c>
      <c r="D58" s="63">
        <v>800</v>
      </c>
    </row>
    <row r="59" spans="1:10" x14ac:dyDescent="0.2">
      <c r="B59" s="59">
        <v>30</v>
      </c>
      <c r="C59" s="84" t="s">
        <v>34</v>
      </c>
      <c r="D59" s="63">
        <v>900</v>
      </c>
    </row>
    <row r="60" spans="1:10" x14ac:dyDescent="0.2">
      <c r="B60" s="59">
        <v>35</v>
      </c>
      <c r="C60" s="84" t="s">
        <v>35</v>
      </c>
      <c r="D60" s="63">
        <v>1000</v>
      </c>
    </row>
    <row r="61" spans="1:10" x14ac:dyDescent="0.2">
      <c r="B61" s="59">
        <v>40</v>
      </c>
      <c r="C61" s="84" t="s">
        <v>36</v>
      </c>
      <c r="D61" s="63">
        <v>1100</v>
      </c>
    </row>
    <row r="62" spans="1:10" x14ac:dyDescent="0.2">
      <c r="B62" s="59">
        <v>45</v>
      </c>
      <c r="C62" s="84" t="s">
        <v>37</v>
      </c>
      <c r="D62" s="63">
        <v>1200</v>
      </c>
    </row>
    <row r="63" spans="1:10" x14ac:dyDescent="0.2">
      <c r="B63" s="59">
        <v>50</v>
      </c>
      <c r="C63" s="84" t="s">
        <v>38</v>
      </c>
      <c r="D63" s="63">
        <v>1300</v>
      </c>
    </row>
    <row r="64" spans="1:10" x14ac:dyDescent="0.2">
      <c r="B64" s="59">
        <v>60</v>
      </c>
      <c r="C64" s="84" t="s">
        <v>39</v>
      </c>
      <c r="D64" s="63">
        <v>1500</v>
      </c>
    </row>
    <row r="65" spans="1:7" x14ac:dyDescent="0.2">
      <c r="B65" s="59" t="s">
        <v>25</v>
      </c>
      <c r="C65" s="84" t="s">
        <v>40</v>
      </c>
      <c r="D65" s="63">
        <v>1550</v>
      </c>
    </row>
    <row r="66" spans="1:7" x14ac:dyDescent="0.2">
      <c r="B66" s="59" t="s">
        <v>24</v>
      </c>
      <c r="C66" s="59">
        <v>0</v>
      </c>
      <c r="D66" s="63">
        <v>0</v>
      </c>
      <c r="E66" s="59" t="s">
        <v>28</v>
      </c>
      <c r="F66" s="59" t="s">
        <v>44</v>
      </c>
    </row>
    <row r="67" spans="1:7" x14ac:dyDescent="0.2">
      <c r="E67" s="60">
        <f>MAX(C66:D66)</f>
        <v>0</v>
      </c>
      <c r="F67" s="60">
        <f>ROUND(MIN(C66:D66)*0.25,0)</f>
        <v>0</v>
      </c>
    </row>
    <row r="68" spans="1:7" x14ac:dyDescent="0.2">
      <c r="A68" s="59" t="s">
        <v>23</v>
      </c>
      <c r="B68" s="68">
        <f>E67+F67</f>
        <v>0</v>
      </c>
    </row>
    <row r="72" spans="1:7" x14ac:dyDescent="0.2">
      <c r="A72" s="59" t="s">
        <v>22</v>
      </c>
      <c r="B72" s="60">
        <f>'رسمی پیمانی'!D5</f>
        <v>10500</v>
      </c>
    </row>
    <row r="73" spans="1:7" x14ac:dyDescent="0.2">
      <c r="A73" s="59" t="s">
        <v>105</v>
      </c>
      <c r="B73" s="60">
        <f>'رسمی پیمانی'!D6</f>
        <v>3375</v>
      </c>
      <c r="G73" s="60"/>
    </row>
    <row r="74" spans="1:7" x14ac:dyDescent="0.2">
      <c r="A74" s="59" t="s">
        <v>107</v>
      </c>
      <c r="B74" s="60">
        <f>'رسمی پیمانی'!D7</f>
        <v>8989</v>
      </c>
    </row>
    <row r="75" spans="1:7" x14ac:dyDescent="0.2">
      <c r="A75" s="59" t="s">
        <v>0</v>
      </c>
      <c r="B75" s="60">
        <f>B8</f>
        <v>2300</v>
      </c>
    </row>
    <row r="76" spans="1:7" x14ac:dyDescent="0.2">
      <c r="A76" s="59" t="s">
        <v>8</v>
      </c>
      <c r="B76" s="60">
        <f>B11</f>
        <v>500</v>
      </c>
    </row>
    <row r="77" spans="1:7" x14ac:dyDescent="0.2">
      <c r="A77" s="59" t="s">
        <v>9</v>
      </c>
      <c r="B77" s="60">
        <f>B20</f>
        <v>800</v>
      </c>
    </row>
    <row r="78" spans="1:7" x14ac:dyDescent="0.2">
      <c r="A78" s="59" t="s">
        <v>10</v>
      </c>
      <c r="B78" s="60">
        <f>F37</f>
        <v>0</v>
      </c>
    </row>
    <row r="79" spans="1:7" x14ac:dyDescent="0.2">
      <c r="A79" s="59" t="s">
        <v>15</v>
      </c>
      <c r="B79" s="60">
        <f>F47</f>
        <v>0</v>
      </c>
    </row>
    <row r="80" spans="1:7" x14ac:dyDescent="0.2">
      <c r="A80" s="59" t="s">
        <v>7</v>
      </c>
      <c r="B80" s="60">
        <f>SUM(B75:B79)</f>
        <v>3600</v>
      </c>
    </row>
    <row r="81" spans="1:6" x14ac:dyDescent="0.2">
      <c r="B81" s="60"/>
    </row>
    <row r="82" spans="1:6" x14ac:dyDescent="0.2">
      <c r="A82" s="59" t="s">
        <v>18</v>
      </c>
      <c r="B82" s="60">
        <f>I50</f>
        <v>0</v>
      </c>
      <c r="C82" s="61" t="s">
        <v>41</v>
      </c>
      <c r="D82" s="59" t="s">
        <v>73</v>
      </c>
      <c r="E82" s="62" t="s">
        <v>112</v>
      </c>
    </row>
    <row r="83" spans="1:6" x14ac:dyDescent="0.2">
      <c r="A83" s="59" t="s">
        <v>20</v>
      </c>
      <c r="B83" s="60">
        <f>I51</f>
        <v>0</v>
      </c>
      <c r="C83" s="60">
        <f>B82+B83</f>
        <v>0</v>
      </c>
      <c r="D83" s="59">
        <f>IF(C83&lt;=E83,C83,E83)</f>
        <v>0</v>
      </c>
      <c r="E83" s="59">
        <f>B80*0.2</f>
        <v>720</v>
      </c>
      <c r="F83" s="59" t="s">
        <v>72</v>
      </c>
    </row>
    <row r="84" spans="1:6" x14ac:dyDescent="0.2">
      <c r="A84" s="59" t="s">
        <v>42</v>
      </c>
      <c r="B84" s="60">
        <f>B80+D83</f>
        <v>3600</v>
      </c>
      <c r="F84" s="63">
        <f>ROUND(((B72))*0.75,0)</f>
        <v>7875</v>
      </c>
    </row>
    <row r="85" spans="1:6" x14ac:dyDescent="0.2">
      <c r="A85" s="59" t="s">
        <v>106</v>
      </c>
      <c r="B85" s="60">
        <f>B84*1.5</f>
        <v>5400</v>
      </c>
      <c r="F85" s="63"/>
    </row>
    <row r="86" spans="1:6" x14ac:dyDescent="0.2">
      <c r="A86" s="59" t="s">
        <v>113</v>
      </c>
      <c r="B86" s="60">
        <f>IF(B85&gt;F84,F84,B85)</f>
        <v>5400</v>
      </c>
    </row>
    <row r="87" spans="1:6" x14ac:dyDescent="0.2">
      <c r="A87" s="59" t="s">
        <v>96</v>
      </c>
      <c r="B87" s="64"/>
    </row>
    <row r="88" spans="1:6" x14ac:dyDescent="0.2">
      <c r="B88" s="60">
        <f>IF(B86&gt;B74,B86,B74)</f>
        <v>8989</v>
      </c>
    </row>
    <row r="90" spans="1:6" x14ac:dyDescent="0.2">
      <c r="A90" s="59" t="s">
        <v>122</v>
      </c>
      <c r="B90" s="59">
        <f>IF(B88&lt;F84,B88,F84)</f>
        <v>7875</v>
      </c>
    </row>
    <row r="93" spans="1:6" x14ac:dyDescent="0.2">
      <c r="B93" s="60"/>
    </row>
    <row r="95" spans="1:6" x14ac:dyDescent="0.2">
      <c r="B95" s="60"/>
    </row>
  </sheetData>
  <sheetProtection algorithmName="SHA-512" hashValue="d+1d2ywahIb3D6XNcFiudFevCZJNjUkBGnu4OByHlyCFSPLOow7t1odFAGdm7Pj2uO8nzEZIWi3xyHMze4ZOqA==" saltValue="FQ5Phd0OB49GzvY18VYWhg==" spinCount="100000" sheet="1" objects="1" scenarios="1"/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T47"/>
  <sheetViews>
    <sheetView rightToLeft="1" view="pageBreakPreview" zoomScale="70" zoomScaleNormal="100" zoomScaleSheetLayoutView="70" workbookViewId="0">
      <selection activeCell="D5" sqref="D5:E5"/>
    </sheetView>
  </sheetViews>
  <sheetFormatPr defaultRowHeight="12.75" x14ac:dyDescent="0.2"/>
  <cols>
    <col min="1" max="1" width="20.5703125" style="2" customWidth="1"/>
    <col min="2" max="2" width="9.85546875" style="2" customWidth="1"/>
    <col min="3" max="3" width="10.7109375" style="2" customWidth="1"/>
    <col min="4" max="4" width="10" style="2" customWidth="1"/>
    <col min="5" max="5" width="9.28515625" style="2" customWidth="1"/>
    <col min="6" max="6" width="23.5703125" style="2" customWidth="1"/>
    <col min="7" max="7" width="6.28515625" style="2" customWidth="1"/>
    <col min="8" max="8" width="26.28515625" style="2" customWidth="1"/>
    <col min="9" max="9" width="13.42578125" style="2" customWidth="1"/>
    <col min="10" max="10" width="13.85546875" style="2" customWidth="1"/>
    <col min="11" max="11" width="16.85546875" style="2" customWidth="1"/>
    <col min="12" max="12" width="11.140625" style="114" bestFit="1" customWidth="1"/>
    <col min="13" max="13" width="14.28515625" style="114" bestFit="1" customWidth="1"/>
    <col min="14" max="20" width="9.140625" style="114"/>
    <col min="21" max="16384" width="9.140625" style="2"/>
  </cols>
  <sheetData>
    <row r="1" spans="1:20" ht="117.75" customHeight="1" x14ac:dyDescent="0.65">
      <c r="A1" s="1"/>
      <c r="B1" s="1"/>
      <c r="C1" s="1"/>
      <c r="D1" s="1"/>
      <c r="E1" s="1"/>
      <c r="F1" s="1"/>
      <c r="G1" s="1"/>
      <c r="H1" s="1"/>
      <c r="I1" s="1"/>
      <c r="J1" s="1"/>
    </row>
    <row r="2" spans="1:20" s="1" customFormat="1" ht="67.5" customHeight="1" x14ac:dyDescent="0.65">
      <c r="A2" s="172" t="s">
        <v>99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13"/>
      <c r="M2" s="113"/>
      <c r="N2" s="113"/>
      <c r="O2" s="113"/>
      <c r="P2" s="113"/>
      <c r="Q2" s="113"/>
      <c r="R2" s="113"/>
      <c r="S2" s="113"/>
      <c r="T2" s="113"/>
    </row>
    <row r="3" spans="1:20" s="1" customFormat="1" ht="30" customHeight="1" x14ac:dyDescent="0.8">
      <c r="A3" s="165" t="s">
        <v>97</v>
      </c>
      <c r="B3" s="165"/>
      <c r="C3" s="165"/>
      <c r="D3" s="165"/>
      <c r="E3" s="165"/>
      <c r="F3" s="165"/>
      <c r="G3" s="3"/>
      <c r="H3" s="165" t="s">
        <v>98</v>
      </c>
      <c r="I3" s="165"/>
      <c r="J3" s="165"/>
      <c r="K3" s="165"/>
      <c r="L3" s="113"/>
      <c r="M3" s="57"/>
      <c r="N3" s="57"/>
      <c r="O3" s="57"/>
      <c r="P3" s="57"/>
      <c r="Q3" s="113"/>
      <c r="R3" s="113"/>
      <c r="S3" s="113"/>
      <c r="T3" s="113"/>
    </row>
    <row r="4" spans="1:20" ht="22.5" x14ac:dyDescent="0.55000000000000004">
      <c r="A4" s="164" t="s">
        <v>53</v>
      </c>
      <c r="B4" s="164"/>
      <c r="C4" s="164"/>
      <c r="D4" s="161" t="s">
        <v>79</v>
      </c>
      <c r="E4" s="161"/>
      <c r="F4" s="97" t="s">
        <v>76</v>
      </c>
      <c r="G4" s="3"/>
      <c r="H4" s="161" t="s">
        <v>53</v>
      </c>
      <c r="I4" s="161"/>
      <c r="J4" s="97" t="s">
        <v>88</v>
      </c>
      <c r="K4" s="97" t="s">
        <v>80</v>
      </c>
      <c r="M4" s="56"/>
      <c r="N4" s="56" t="s">
        <v>78</v>
      </c>
      <c r="O4" s="56">
        <v>2438</v>
      </c>
      <c r="P4" s="56"/>
    </row>
    <row r="5" spans="1:20" ht="22.5" x14ac:dyDescent="0.65">
      <c r="A5" s="160" t="s">
        <v>77</v>
      </c>
      <c r="B5" s="130" t="s">
        <v>22</v>
      </c>
      <c r="C5" s="130"/>
      <c r="D5" s="162">
        <v>4380</v>
      </c>
      <c r="E5" s="163"/>
      <c r="F5" s="95">
        <f t="shared" ref="F5:F14" si="0">D5*$O$4</f>
        <v>10678440</v>
      </c>
      <c r="G5" s="3"/>
      <c r="H5" s="160" t="s">
        <v>77</v>
      </c>
      <c r="I5" s="17" t="str">
        <f>B5</f>
        <v>حق شغل</v>
      </c>
      <c r="J5" s="23">
        <f>D5/0.8</f>
        <v>5475</v>
      </c>
      <c r="K5" s="16">
        <f>J5*O5</f>
        <v>16687800</v>
      </c>
      <c r="L5" s="115"/>
      <c r="M5" s="56"/>
      <c r="N5" s="56" t="s">
        <v>94</v>
      </c>
      <c r="O5" s="56">
        <v>3048</v>
      </c>
      <c r="P5" s="56"/>
    </row>
    <row r="6" spans="1:20" ht="22.5" x14ac:dyDescent="0.65">
      <c r="A6" s="160"/>
      <c r="B6" s="130" t="s">
        <v>54</v>
      </c>
      <c r="C6" s="130"/>
      <c r="D6" s="162">
        <v>0</v>
      </c>
      <c r="E6" s="163"/>
      <c r="F6" s="95">
        <f t="shared" si="0"/>
        <v>0</v>
      </c>
      <c r="G6" s="3"/>
      <c r="H6" s="160"/>
      <c r="I6" s="17" t="str">
        <f>B6</f>
        <v xml:space="preserve">فوق العاده مدیریت </v>
      </c>
      <c r="J6" s="23">
        <f>D6/0.8</f>
        <v>0</v>
      </c>
      <c r="K6" s="16">
        <f>J6*O5</f>
        <v>0</v>
      </c>
      <c r="L6" s="115"/>
      <c r="M6" s="56"/>
      <c r="N6" s="56" t="s">
        <v>95</v>
      </c>
      <c r="O6" s="56">
        <v>22468000</v>
      </c>
      <c r="P6" s="56"/>
    </row>
    <row r="7" spans="1:20" ht="22.5" x14ac:dyDescent="0.65">
      <c r="A7" s="160"/>
      <c r="B7" s="130" t="s">
        <v>67</v>
      </c>
      <c r="C7" s="130"/>
      <c r="D7" s="162">
        <v>2334</v>
      </c>
      <c r="E7" s="163"/>
      <c r="F7" s="95">
        <f t="shared" si="0"/>
        <v>5690292</v>
      </c>
      <c r="G7" s="3"/>
      <c r="H7" s="160"/>
      <c r="I7" s="17" t="str">
        <f>B7</f>
        <v xml:space="preserve">حق شاغل </v>
      </c>
      <c r="J7" s="23">
        <f>'جزییات حق شاغل قراردادی'!B89</f>
        <v>3285</v>
      </c>
      <c r="K7" s="16">
        <f>J7*O5</f>
        <v>10012680</v>
      </c>
      <c r="L7" s="115"/>
      <c r="M7" s="56"/>
      <c r="N7" s="56"/>
      <c r="O7" s="56"/>
      <c r="P7" s="56"/>
    </row>
    <row r="8" spans="1:20" ht="22.5" x14ac:dyDescent="0.65">
      <c r="A8" s="130" t="s">
        <v>56</v>
      </c>
      <c r="B8" s="130"/>
      <c r="C8" s="130"/>
      <c r="D8" s="149">
        <v>840</v>
      </c>
      <c r="E8" s="149"/>
      <c r="F8" s="95">
        <f t="shared" si="0"/>
        <v>2047920</v>
      </c>
      <c r="G8" s="3"/>
      <c r="H8" s="130" t="str">
        <f>A8</f>
        <v>فوق العاده شغل</v>
      </c>
      <c r="I8" s="130"/>
      <c r="J8" s="23">
        <f t="shared" ref="J8" si="1">D8/0.8</f>
        <v>1050</v>
      </c>
      <c r="K8" s="16">
        <f>J8*O5</f>
        <v>3200400</v>
      </c>
      <c r="L8" s="115"/>
      <c r="M8" s="56"/>
      <c r="N8" s="56"/>
      <c r="O8" s="56"/>
      <c r="P8" s="56"/>
    </row>
    <row r="9" spans="1:20" ht="22.5" x14ac:dyDescent="0.65">
      <c r="A9" s="130" t="s">
        <v>58</v>
      </c>
      <c r="B9" s="130"/>
      <c r="C9" s="130"/>
      <c r="D9" s="149">
        <v>0</v>
      </c>
      <c r="E9" s="149"/>
      <c r="F9" s="95">
        <f t="shared" si="0"/>
        <v>0</v>
      </c>
      <c r="G9" s="3"/>
      <c r="H9" s="130" t="str">
        <f t="shared" ref="H9:H14" si="2">A9</f>
        <v>فوق العاده ایثارگری</v>
      </c>
      <c r="I9" s="130"/>
      <c r="J9" s="23">
        <f>D9/0.8</f>
        <v>0</v>
      </c>
      <c r="K9" s="16">
        <f>J9*O5</f>
        <v>0</v>
      </c>
      <c r="L9" s="115"/>
      <c r="M9" s="56"/>
      <c r="N9" s="56"/>
      <c r="O9" s="56"/>
      <c r="P9" s="56"/>
    </row>
    <row r="10" spans="1:20" ht="22.5" x14ac:dyDescent="0.65">
      <c r="A10" s="130" t="s">
        <v>60</v>
      </c>
      <c r="B10" s="130"/>
      <c r="C10" s="130"/>
      <c r="D10" s="149">
        <v>0</v>
      </c>
      <c r="E10" s="149"/>
      <c r="F10" s="95">
        <f t="shared" si="0"/>
        <v>0</v>
      </c>
      <c r="G10" s="3"/>
      <c r="H10" s="130" t="str">
        <f t="shared" si="2"/>
        <v>فوق العاده سختی کار</v>
      </c>
      <c r="I10" s="130"/>
      <c r="J10" s="23">
        <f>D10/0.8</f>
        <v>0</v>
      </c>
      <c r="K10" s="16">
        <f>J10*O5</f>
        <v>0</v>
      </c>
      <c r="L10" s="115"/>
      <c r="M10" s="56"/>
      <c r="N10" s="56"/>
      <c r="O10" s="56"/>
      <c r="P10" s="56"/>
    </row>
    <row r="11" spans="1:20" ht="22.5" x14ac:dyDescent="0.65">
      <c r="A11" s="130" t="s">
        <v>61</v>
      </c>
      <c r="B11" s="130"/>
      <c r="C11" s="130"/>
      <c r="D11" s="149">
        <v>1215</v>
      </c>
      <c r="E11" s="149"/>
      <c r="F11" s="95">
        <f t="shared" si="0"/>
        <v>2962170</v>
      </c>
      <c r="G11" s="3"/>
      <c r="H11" s="130" t="str">
        <f t="shared" si="2"/>
        <v>کمک هزینه عائله مندی</v>
      </c>
      <c r="I11" s="130"/>
      <c r="J11" s="23">
        <f>D11</f>
        <v>1215</v>
      </c>
      <c r="K11" s="16">
        <f>J11*O5</f>
        <v>3703320</v>
      </c>
      <c r="L11" s="115"/>
      <c r="M11" s="56"/>
      <c r="N11" s="56"/>
      <c r="O11" s="56"/>
      <c r="P11" s="56"/>
    </row>
    <row r="12" spans="1:20" ht="22.5" x14ac:dyDescent="0.65">
      <c r="A12" s="130" t="s">
        <v>62</v>
      </c>
      <c r="B12" s="130"/>
      <c r="C12" s="130"/>
      <c r="D12" s="149">
        <v>315</v>
      </c>
      <c r="E12" s="149"/>
      <c r="F12" s="95">
        <f t="shared" si="0"/>
        <v>767970</v>
      </c>
      <c r="G12" s="3"/>
      <c r="H12" s="130" t="str">
        <f t="shared" si="2"/>
        <v>کمک هزینه اولاد</v>
      </c>
      <c r="I12" s="130"/>
      <c r="J12" s="23">
        <f>D12</f>
        <v>315</v>
      </c>
      <c r="K12" s="16">
        <f>J12*O5</f>
        <v>960120</v>
      </c>
      <c r="L12" s="115"/>
      <c r="M12" s="56"/>
      <c r="N12" s="56"/>
      <c r="O12" s="56"/>
      <c r="P12" s="56"/>
    </row>
    <row r="13" spans="1:20" ht="22.5" x14ac:dyDescent="0.65">
      <c r="A13" s="130" t="s">
        <v>65</v>
      </c>
      <c r="B13" s="130"/>
      <c r="C13" s="130"/>
      <c r="D13" s="149"/>
      <c r="E13" s="149"/>
      <c r="F13" s="95">
        <f t="shared" si="0"/>
        <v>0</v>
      </c>
      <c r="G13" s="3"/>
      <c r="H13" s="130" t="str">
        <f t="shared" si="2"/>
        <v>فوق العاده نشان های دولتی</v>
      </c>
      <c r="I13" s="130"/>
      <c r="J13" s="23">
        <f>D13/0.8</f>
        <v>0</v>
      </c>
      <c r="K13" s="16">
        <f>J13*O5</f>
        <v>0</v>
      </c>
      <c r="L13" s="115"/>
      <c r="M13" s="56"/>
      <c r="N13" s="56"/>
      <c r="O13" s="56"/>
      <c r="P13" s="56"/>
    </row>
    <row r="14" spans="1:20" ht="22.5" x14ac:dyDescent="0.65">
      <c r="A14" s="130" t="s">
        <v>66</v>
      </c>
      <c r="B14" s="130"/>
      <c r="C14" s="130"/>
      <c r="D14" s="149"/>
      <c r="E14" s="149"/>
      <c r="F14" s="95">
        <f t="shared" si="0"/>
        <v>0</v>
      </c>
      <c r="G14" s="3"/>
      <c r="H14" s="130" t="str">
        <f t="shared" si="2"/>
        <v>فوق العاده خدمت در مناطق جنگ زده</v>
      </c>
      <c r="I14" s="130"/>
      <c r="J14" s="23">
        <f>D14/0.8</f>
        <v>0</v>
      </c>
      <c r="K14" s="16">
        <f>J14*O5</f>
        <v>0</v>
      </c>
      <c r="L14" s="115"/>
      <c r="M14" s="56"/>
      <c r="N14" s="56"/>
      <c r="O14" s="56"/>
      <c r="P14" s="56"/>
    </row>
    <row r="15" spans="1:20" ht="22.5" x14ac:dyDescent="0.65">
      <c r="A15" s="130" t="s">
        <v>75</v>
      </c>
      <c r="B15" s="130"/>
      <c r="C15" s="130"/>
      <c r="D15" s="149">
        <v>0</v>
      </c>
      <c r="E15" s="149"/>
      <c r="F15" s="95">
        <f>D15*O4</f>
        <v>0</v>
      </c>
      <c r="G15" s="3"/>
      <c r="H15" s="130" t="str">
        <f t="shared" ref="H15:H20" si="3">A17</f>
        <v>فوق العاده ویژه</v>
      </c>
      <c r="I15" s="130"/>
      <c r="J15" s="24">
        <f>D17</f>
        <v>0.19999997828052568</v>
      </c>
      <c r="K15" s="16">
        <f>(K5+K6+K7+K8+K9+K10+K13+K14)*J15</f>
        <v>5980175.3505686047</v>
      </c>
      <c r="L15" s="115"/>
      <c r="M15" s="56"/>
      <c r="N15" s="56"/>
      <c r="O15" s="56"/>
      <c r="P15" s="56"/>
    </row>
    <row r="16" spans="1:20" ht="22.5" x14ac:dyDescent="0.65">
      <c r="A16" s="130" t="s">
        <v>74</v>
      </c>
      <c r="B16" s="130"/>
      <c r="C16" s="130"/>
      <c r="D16" s="149">
        <v>0</v>
      </c>
      <c r="E16" s="149"/>
      <c r="F16" s="95">
        <f>D16*O4</f>
        <v>0</v>
      </c>
      <c r="G16" s="3"/>
      <c r="H16" s="130" t="str">
        <f t="shared" si="3"/>
        <v>فوق العاده ایثارگری موضوع ماده 51 قانون جامع</v>
      </c>
      <c r="I16" s="130"/>
      <c r="J16" s="93"/>
      <c r="K16" s="16">
        <f>IF(F18&gt;0,O6/4,0)</f>
        <v>0</v>
      </c>
      <c r="L16" s="115"/>
      <c r="M16" s="56"/>
      <c r="N16" s="56"/>
      <c r="O16" s="56"/>
      <c r="P16" s="56"/>
    </row>
    <row r="17" spans="1:16" ht="22.5" x14ac:dyDescent="0.65">
      <c r="A17" s="130" t="s">
        <v>57</v>
      </c>
      <c r="B17" s="130"/>
      <c r="C17" s="130"/>
      <c r="D17" s="150">
        <f>F17/(F5+F6+F7+F8+F9+F10+F13+F14)</f>
        <v>0.19999997828052568</v>
      </c>
      <c r="E17" s="150"/>
      <c r="F17" s="96">
        <v>3683330</v>
      </c>
      <c r="G17" s="3"/>
      <c r="H17" s="130" t="str">
        <f t="shared" si="3"/>
        <v xml:space="preserve">سایر </v>
      </c>
      <c r="I17" s="130"/>
      <c r="J17" s="93"/>
      <c r="K17" s="16">
        <v>0</v>
      </c>
      <c r="L17" s="115"/>
      <c r="M17" s="56"/>
      <c r="N17" s="56"/>
      <c r="O17" s="56"/>
      <c r="P17" s="56"/>
    </row>
    <row r="18" spans="1:16" ht="22.5" x14ac:dyDescent="0.65">
      <c r="A18" s="130" t="s">
        <v>59</v>
      </c>
      <c r="B18" s="130"/>
      <c r="C18" s="130"/>
      <c r="D18" s="148"/>
      <c r="E18" s="148"/>
      <c r="F18" s="96">
        <v>0</v>
      </c>
      <c r="G18" s="3"/>
      <c r="H18" s="130" t="str">
        <f t="shared" si="3"/>
        <v>فوق العاده بدی آب و هوا</v>
      </c>
      <c r="I18" s="130"/>
      <c r="J18" s="24">
        <f>D20</f>
        <v>0</v>
      </c>
      <c r="K18" s="16">
        <f>(K6+K5+K7)*J18</f>
        <v>0</v>
      </c>
      <c r="L18" s="115"/>
      <c r="M18" s="56"/>
      <c r="N18" s="56"/>
      <c r="O18" s="56"/>
      <c r="P18" s="56"/>
    </row>
    <row r="19" spans="1:16" ht="22.5" x14ac:dyDescent="0.65">
      <c r="A19" s="185" t="s">
        <v>100</v>
      </c>
      <c r="B19" s="186"/>
      <c r="C19" s="187"/>
      <c r="D19" s="53"/>
      <c r="E19" s="54"/>
      <c r="F19" s="96">
        <v>4930865</v>
      </c>
      <c r="G19" s="3"/>
      <c r="H19" s="130" t="str">
        <f t="shared" si="3"/>
        <v>فوق العاده مناطق کمتر توسعه یافته</v>
      </c>
      <c r="I19" s="130"/>
      <c r="J19" s="24">
        <f>D21</f>
        <v>0</v>
      </c>
      <c r="K19" s="16">
        <f>(K5+K6+K7)*J19</f>
        <v>0</v>
      </c>
      <c r="L19" s="115"/>
      <c r="M19" s="86">
        <f>N19/O5</f>
        <v>0</v>
      </c>
      <c r="N19" s="56">
        <f>IF(M20&gt;0,N21+M20,N21)</f>
        <v>0</v>
      </c>
      <c r="O19" s="56"/>
      <c r="P19" s="56"/>
    </row>
    <row r="20" spans="1:16" ht="22.5" x14ac:dyDescent="0.65">
      <c r="A20" s="185" t="s">
        <v>63</v>
      </c>
      <c r="B20" s="186"/>
      <c r="C20" s="187"/>
      <c r="D20" s="188">
        <f>F20/(F5+F6+F7)</f>
        <v>0</v>
      </c>
      <c r="E20" s="189"/>
      <c r="F20" s="96">
        <v>0</v>
      </c>
      <c r="G20" s="3"/>
      <c r="H20" s="130" t="str">
        <f t="shared" si="3"/>
        <v>حداقل دریافتی</v>
      </c>
      <c r="I20" s="130"/>
      <c r="J20" s="93"/>
      <c r="K20" s="95">
        <f>IF((K5+K6+K7+K8+K9+K10+K15)&lt;T3,T3-(K5+K6+K7+K8+K9+K10+K15),0)</f>
        <v>0</v>
      </c>
      <c r="L20" s="115"/>
      <c r="M20" s="58">
        <f>IF(M23&lt;35000000,35000000-M23,0)</f>
        <v>0</v>
      </c>
      <c r="N20" s="56"/>
      <c r="O20" s="56"/>
      <c r="P20" s="56"/>
    </row>
    <row r="21" spans="1:16" ht="22.5" x14ac:dyDescent="0.65">
      <c r="A21" s="185" t="s">
        <v>64</v>
      </c>
      <c r="B21" s="186"/>
      <c r="C21" s="187"/>
      <c r="D21" s="188">
        <f>F21/(F6+F7+F5)</f>
        <v>0</v>
      </c>
      <c r="E21" s="189"/>
      <c r="F21" s="96">
        <v>0</v>
      </c>
      <c r="G21" s="3"/>
      <c r="H21" s="130" t="s">
        <v>111</v>
      </c>
      <c r="I21" s="130"/>
      <c r="J21" s="55">
        <f>M19</f>
        <v>0</v>
      </c>
      <c r="K21" s="95">
        <f>N19</f>
        <v>0</v>
      </c>
      <c r="L21" s="115"/>
      <c r="M21" s="87">
        <f>D15+D16</f>
        <v>0</v>
      </c>
      <c r="N21" s="87">
        <f>M21*O5</f>
        <v>0</v>
      </c>
      <c r="O21" s="56"/>
      <c r="P21" s="56"/>
    </row>
    <row r="22" spans="1:16" ht="22.5" x14ac:dyDescent="0.65">
      <c r="A22" s="185" t="s">
        <v>69</v>
      </c>
      <c r="B22" s="186"/>
      <c r="C22" s="187"/>
      <c r="D22" s="193"/>
      <c r="E22" s="194"/>
      <c r="F22" s="96"/>
      <c r="G22" s="3"/>
      <c r="H22" s="130" t="s">
        <v>110</v>
      </c>
      <c r="I22" s="130"/>
      <c r="J22" s="99"/>
      <c r="K22" s="88">
        <f>IF(M23-F23&gt;25000000,25000000-(M23-F23),0)</f>
        <v>0</v>
      </c>
      <c r="L22" s="115"/>
      <c r="M22" s="56"/>
      <c r="N22" s="56"/>
      <c r="O22" s="56"/>
      <c r="P22" s="56"/>
    </row>
    <row r="23" spans="1:16" ht="22.5" x14ac:dyDescent="0.65">
      <c r="A23" s="166" t="s">
        <v>101</v>
      </c>
      <c r="B23" s="167"/>
      <c r="C23" s="167"/>
      <c r="D23" s="167"/>
      <c r="E23" s="168"/>
      <c r="F23" s="28">
        <f>SUM(F5:F22)</f>
        <v>30760987</v>
      </c>
      <c r="G23" s="3"/>
      <c r="H23" s="169" t="str">
        <f>A23</f>
        <v>جمع نهایی مبالغ مندرج در  قرارداد</v>
      </c>
      <c r="I23" s="170"/>
      <c r="J23" s="171"/>
      <c r="K23" s="28">
        <f>SUM(K5:K22)</f>
        <v>40544495.350568607</v>
      </c>
      <c r="L23" s="115"/>
      <c r="M23" s="58">
        <f>SUM(K5:K20)+(D15*O5)+(D16*O5)</f>
        <v>40544495.350568607</v>
      </c>
      <c r="N23" s="56"/>
      <c r="O23" s="56"/>
      <c r="P23" s="56"/>
    </row>
    <row r="24" spans="1:16" ht="18.75" x14ac:dyDescent="0.55000000000000004">
      <c r="A24" s="3"/>
      <c r="B24" s="3"/>
      <c r="C24" s="3"/>
      <c r="D24" s="3"/>
      <c r="E24" s="3"/>
      <c r="F24" s="3"/>
      <c r="G24" s="3"/>
      <c r="I24" s="3"/>
      <c r="J24" s="3"/>
      <c r="K24" s="3"/>
    </row>
    <row r="25" spans="1:16" ht="18.75" x14ac:dyDescent="0.55000000000000004">
      <c r="A25" s="3"/>
      <c r="B25" s="3"/>
      <c r="C25" s="3"/>
      <c r="D25" s="3"/>
      <c r="E25" s="3"/>
      <c r="F25" s="3"/>
      <c r="G25" s="3"/>
      <c r="H25" s="156" t="s">
        <v>104</v>
      </c>
      <c r="I25" s="156"/>
      <c r="J25" s="156"/>
      <c r="K25" s="14">
        <f>K23-F23</f>
        <v>9783508.3505686074</v>
      </c>
    </row>
    <row r="26" spans="1:16" ht="18.75" x14ac:dyDescent="0.55000000000000004">
      <c r="A26" s="3"/>
      <c r="B26" s="3"/>
      <c r="C26" s="3"/>
      <c r="D26" s="3"/>
      <c r="E26" s="3"/>
      <c r="F26" s="4"/>
      <c r="G26" s="4"/>
      <c r="H26" s="156" t="s">
        <v>103</v>
      </c>
      <c r="I26" s="156"/>
      <c r="J26" s="156"/>
      <c r="K26" s="15">
        <f>K25/F23</f>
        <v>0.31804923393935985</v>
      </c>
    </row>
    <row r="27" spans="1:16" ht="22.5" x14ac:dyDescent="0.65">
      <c r="A27" s="3"/>
      <c r="B27" s="3"/>
      <c r="C27" s="3"/>
      <c r="D27" s="3"/>
      <c r="E27" s="3"/>
      <c r="F27" s="5"/>
      <c r="G27" s="5"/>
      <c r="H27" s="5"/>
      <c r="I27" s="6"/>
      <c r="J27" s="6"/>
      <c r="K27" s="6"/>
    </row>
    <row r="28" spans="1:16" ht="63" customHeight="1" x14ac:dyDescent="0.55000000000000004">
      <c r="A28" s="155" t="s">
        <v>109</v>
      </c>
      <c r="B28" s="155"/>
      <c r="C28" s="155"/>
      <c r="D28" s="155"/>
      <c r="E28" s="155"/>
      <c r="F28" s="155"/>
      <c r="G28" s="155"/>
      <c r="H28" s="155"/>
      <c r="I28" s="155"/>
      <c r="J28" s="155"/>
      <c r="K28" s="155"/>
    </row>
    <row r="29" spans="1:16" ht="18.75" x14ac:dyDescent="0.55000000000000004">
      <c r="A29" s="13" t="s">
        <v>52</v>
      </c>
      <c r="B29" s="13"/>
      <c r="C29" s="13">
        <v>1.5</v>
      </c>
      <c r="D29" s="3"/>
      <c r="E29" s="3"/>
      <c r="F29" s="3"/>
      <c r="G29" s="3"/>
      <c r="H29" s="3"/>
      <c r="I29" s="3"/>
      <c r="J29" s="3"/>
      <c r="K29" s="3"/>
    </row>
    <row r="30" spans="1:16" ht="18.75" x14ac:dyDescent="0.55000000000000004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6" ht="22.5" x14ac:dyDescent="0.65">
      <c r="A31" s="182" t="s">
        <v>68</v>
      </c>
      <c r="B31" s="183"/>
      <c r="C31" s="112" t="s">
        <v>5</v>
      </c>
      <c r="D31" s="7"/>
      <c r="E31" s="7"/>
      <c r="F31" s="184" t="s">
        <v>81</v>
      </c>
      <c r="G31" s="184"/>
      <c r="H31" s="184"/>
      <c r="I31" s="184"/>
      <c r="J31" s="184"/>
      <c r="K31" s="184"/>
    </row>
    <row r="32" spans="1:16" ht="22.5" x14ac:dyDescent="0.55000000000000004">
      <c r="A32" s="30"/>
      <c r="B32" s="8">
        <f>IF(C31=A38,"1",+IF(C31=A39,2,+IF(C31=A40,"3",+IF(C31=A41,4,+IF(C31=A42,5,+IF(C31=A43,6,0))))))</f>
        <v>5</v>
      </c>
      <c r="C32" s="31"/>
      <c r="D32" s="7"/>
      <c r="E32" s="7"/>
      <c r="F32" s="134" t="s">
        <v>18</v>
      </c>
      <c r="G32" s="135"/>
      <c r="H32" s="136"/>
      <c r="I32" s="94" t="s">
        <v>11</v>
      </c>
      <c r="J32" s="92" t="s">
        <v>12</v>
      </c>
      <c r="K32" s="94" t="s">
        <v>13</v>
      </c>
    </row>
    <row r="33" spans="1:11" ht="22.5" x14ac:dyDescent="0.65">
      <c r="A33" s="174" t="s">
        <v>49</v>
      </c>
      <c r="B33" s="175"/>
      <c r="C33" s="110">
        <v>1000</v>
      </c>
      <c r="D33" s="7"/>
      <c r="E33" s="7"/>
      <c r="F33" s="137" t="s">
        <v>19</v>
      </c>
      <c r="G33" s="138"/>
      <c r="H33" s="139"/>
      <c r="I33" s="111"/>
      <c r="J33" s="111"/>
      <c r="K33" s="111"/>
    </row>
    <row r="34" spans="1:11" ht="22.5" x14ac:dyDescent="0.65">
      <c r="A34" s="7"/>
      <c r="B34" s="7"/>
      <c r="C34" s="9"/>
      <c r="D34" s="9"/>
      <c r="E34" s="9"/>
      <c r="F34" s="137" t="s">
        <v>20</v>
      </c>
      <c r="G34" s="138"/>
      <c r="H34" s="139"/>
      <c r="I34" s="111"/>
      <c r="J34" s="111"/>
      <c r="K34" s="111"/>
    </row>
    <row r="35" spans="1:11" ht="22.5" x14ac:dyDescent="0.65">
      <c r="A35" s="7"/>
      <c r="B35" s="7"/>
      <c r="C35" s="9"/>
      <c r="D35" s="9"/>
      <c r="E35" s="9"/>
      <c r="F35" s="35"/>
      <c r="G35" s="35"/>
      <c r="H35" s="35"/>
      <c r="I35" s="35"/>
      <c r="J35" s="35"/>
      <c r="K35" s="35"/>
    </row>
    <row r="36" spans="1:11" ht="22.5" x14ac:dyDescent="0.65">
      <c r="A36" s="176" t="s">
        <v>50</v>
      </c>
      <c r="B36" s="177"/>
      <c r="C36" s="177"/>
      <c r="D36" s="178"/>
      <c r="E36" s="3"/>
      <c r="F36" s="176" t="s">
        <v>51</v>
      </c>
      <c r="G36" s="177"/>
      <c r="H36" s="177"/>
      <c r="I36" s="177"/>
      <c r="J36" s="177"/>
      <c r="K36" s="178"/>
    </row>
    <row r="37" spans="1:11" ht="22.5" x14ac:dyDescent="0.65">
      <c r="A37" s="32" t="s">
        <v>70</v>
      </c>
      <c r="B37" s="98" t="s">
        <v>11</v>
      </c>
      <c r="C37" s="98" t="s">
        <v>12</v>
      </c>
      <c r="D37" s="98" t="s">
        <v>13</v>
      </c>
      <c r="E37" s="3"/>
      <c r="F37" s="179" t="s">
        <v>15</v>
      </c>
      <c r="G37" s="180"/>
      <c r="H37" s="181"/>
      <c r="I37" s="98" t="s">
        <v>11</v>
      </c>
      <c r="J37" s="98" t="s">
        <v>12</v>
      </c>
      <c r="K37" s="98" t="s">
        <v>13</v>
      </c>
    </row>
    <row r="38" spans="1:11" ht="22.5" x14ac:dyDescent="0.65">
      <c r="A38" s="33" t="s">
        <v>1</v>
      </c>
      <c r="B38" s="110"/>
      <c r="C38" s="110"/>
      <c r="D38" s="111"/>
      <c r="E38" s="10"/>
      <c r="F38" s="140" t="s">
        <v>1</v>
      </c>
      <c r="G38" s="141"/>
      <c r="H38" s="142"/>
      <c r="I38" s="110"/>
      <c r="J38" s="110"/>
      <c r="K38" s="111"/>
    </row>
    <row r="39" spans="1:11" ht="22.5" x14ac:dyDescent="0.65">
      <c r="A39" s="33" t="s">
        <v>2</v>
      </c>
      <c r="B39" s="110"/>
      <c r="C39" s="110"/>
      <c r="D39" s="111"/>
      <c r="E39" s="10"/>
      <c r="F39" s="143" t="s">
        <v>2</v>
      </c>
      <c r="G39" s="144"/>
      <c r="H39" s="145"/>
      <c r="I39" s="110"/>
      <c r="J39" s="110"/>
      <c r="K39" s="111"/>
    </row>
    <row r="40" spans="1:11" ht="22.5" x14ac:dyDescent="0.65">
      <c r="A40" s="33" t="s">
        <v>3</v>
      </c>
      <c r="B40" s="111"/>
      <c r="C40" s="111"/>
      <c r="D40" s="111"/>
      <c r="E40" s="10"/>
      <c r="F40" s="143" t="s">
        <v>3</v>
      </c>
      <c r="G40" s="144"/>
      <c r="H40" s="145"/>
      <c r="I40" s="111"/>
      <c r="J40" s="111"/>
      <c r="K40" s="111"/>
    </row>
    <row r="41" spans="1:11" ht="22.5" x14ac:dyDescent="0.65">
      <c r="A41" s="33" t="s">
        <v>4</v>
      </c>
      <c r="B41" s="111"/>
      <c r="C41" s="111"/>
      <c r="D41" s="111"/>
      <c r="E41" s="10"/>
      <c r="F41" s="143" t="s">
        <v>4</v>
      </c>
      <c r="G41" s="144"/>
      <c r="H41" s="145"/>
      <c r="I41" s="111"/>
      <c r="J41" s="111"/>
      <c r="K41" s="111"/>
    </row>
    <row r="42" spans="1:11" ht="22.5" x14ac:dyDescent="0.65">
      <c r="A42" s="33" t="s">
        <v>5</v>
      </c>
      <c r="B42" s="111"/>
      <c r="C42" s="111"/>
      <c r="D42" s="111"/>
      <c r="E42" s="10"/>
      <c r="F42" s="143" t="s">
        <v>5</v>
      </c>
      <c r="G42" s="144"/>
      <c r="H42" s="145"/>
      <c r="I42" s="111"/>
      <c r="J42" s="111"/>
      <c r="K42" s="111"/>
    </row>
    <row r="43" spans="1:11" ht="22.5" x14ac:dyDescent="0.65">
      <c r="A43" s="33" t="s">
        <v>6</v>
      </c>
      <c r="B43" s="110"/>
      <c r="C43" s="110"/>
      <c r="D43" s="111"/>
      <c r="E43" s="10"/>
      <c r="F43" s="143" t="s">
        <v>6</v>
      </c>
      <c r="G43" s="144"/>
      <c r="H43" s="145"/>
      <c r="I43" s="111"/>
      <c r="J43" s="111"/>
      <c r="K43" s="111"/>
    </row>
    <row r="44" spans="1:11" ht="22.5" x14ac:dyDescent="0.65">
      <c r="A44" s="34" t="s">
        <v>83</v>
      </c>
      <c r="B44" s="12">
        <f>'جزییات حق شاغل قراردادی'!J37</f>
        <v>0</v>
      </c>
      <c r="C44" s="12">
        <f>'جزییات حق شاغل قراردادی'!K37</f>
        <v>0</v>
      </c>
      <c r="D44" s="12">
        <f>'جزییات حق شاغل قراردادی'!L37</f>
        <v>0</v>
      </c>
      <c r="E44" s="3"/>
      <c r="F44" s="190" t="s">
        <v>82</v>
      </c>
      <c r="G44" s="191"/>
      <c r="H44" s="192"/>
      <c r="I44" s="12">
        <f>'جزییات حق شاغل قراردادی'!B47</f>
        <v>0</v>
      </c>
      <c r="J44" s="12">
        <f>'جزییات حق شاغل قراردادی'!C47</f>
        <v>0</v>
      </c>
      <c r="K44" s="12">
        <f>'جزییات حق شاغل قراردادی'!D47</f>
        <v>0</v>
      </c>
    </row>
    <row r="45" spans="1:11" ht="18.75" x14ac:dyDescent="0.55000000000000004">
      <c r="A45" s="9"/>
      <c r="B45" s="11"/>
      <c r="C45" s="9"/>
      <c r="D45" s="9"/>
      <c r="E45" s="3"/>
      <c r="F45" s="3"/>
      <c r="G45" s="3"/>
      <c r="H45" s="3"/>
      <c r="I45" s="3"/>
      <c r="J45" s="3"/>
      <c r="K45" s="3"/>
    </row>
    <row r="46" spans="1:11" ht="18.75" x14ac:dyDescent="0.55000000000000004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8.75" x14ac:dyDescent="0.55000000000000004">
      <c r="E47" s="10"/>
    </row>
  </sheetData>
  <sheetProtection algorithmName="SHA-512" hashValue="/D6QEXUhZTtvw3K7IsDkgD5rfYtHXqyLC0rBXbaENyGoFZTTk73+u806F1MPwLU7J3Ks6+MnA+M4KPvVgUOprA==" saltValue="5g9UgyojZiESA8tJtxnmGg==" spinCount="100000" sheet="1" objects="1" scenarios="1"/>
  <mergeCells count="79">
    <mergeCell ref="A21:C21"/>
    <mergeCell ref="D21:E21"/>
    <mergeCell ref="H21:I21"/>
    <mergeCell ref="A22:C22"/>
    <mergeCell ref="D22:E22"/>
    <mergeCell ref="H22:I22"/>
    <mergeCell ref="F44:H44"/>
    <mergeCell ref="F32:H32"/>
    <mergeCell ref="F33:H33"/>
    <mergeCell ref="F34:H34"/>
    <mergeCell ref="F39:H39"/>
    <mergeCell ref="F40:H40"/>
    <mergeCell ref="F41:H41"/>
    <mergeCell ref="F42:H42"/>
    <mergeCell ref="F43:H43"/>
    <mergeCell ref="A19:C19"/>
    <mergeCell ref="H19:I19"/>
    <mergeCell ref="A20:C20"/>
    <mergeCell ref="D20:E20"/>
    <mergeCell ref="H20:I20"/>
    <mergeCell ref="H23:J23"/>
    <mergeCell ref="A23:E23"/>
    <mergeCell ref="H25:J25"/>
    <mergeCell ref="A28:K28"/>
    <mergeCell ref="A31:B31"/>
    <mergeCell ref="F31:K31"/>
    <mergeCell ref="H26:J26"/>
    <mergeCell ref="A33:B33"/>
    <mergeCell ref="A36:D36"/>
    <mergeCell ref="F36:K36"/>
    <mergeCell ref="F37:H37"/>
    <mergeCell ref="F38:H38"/>
    <mergeCell ref="H17:I17"/>
    <mergeCell ref="H18:I18"/>
    <mergeCell ref="A17:C17"/>
    <mergeCell ref="D17:E17"/>
    <mergeCell ref="H15:I15"/>
    <mergeCell ref="A18:C18"/>
    <mergeCell ref="D18:E18"/>
    <mergeCell ref="H16:I16"/>
    <mergeCell ref="A15:C15"/>
    <mergeCell ref="A16:C16"/>
    <mergeCell ref="D15:E15"/>
    <mergeCell ref="D16:E16"/>
    <mergeCell ref="A14:C14"/>
    <mergeCell ref="D14:E14"/>
    <mergeCell ref="H14:I14"/>
    <mergeCell ref="A12:C12"/>
    <mergeCell ref="D12:E12"/>
    <mergeCell ref="H12:I12"/>
    <mergeCell ref="A13:C13"/>
    <mergeCell ref="D13:E13"/>
    <mergeCell ref="H13:I13"/>
    <mergeCell ref="A10:C10"/>
    <mergeCell ref="D10:E10"/>
    <mergeCell ref="H10:I10"/>
    <mergeCell ref="A11:C11"/>
    <mergeCell ref="D11:E11"/>
    <mergeCell ref="H11:I11"/>
    <mergeCell ref="A8:C8"/>
    <mergeCell ref="D8:E8"/>
    <mergeCell ref="H8:I8"/>
    <mergeCell ref="A9:C9"/>
    <mergeCell ref="D9:E9"/>
    <mergeCell ref="H9:I9"/>
    <mergeCell ref="A5:A7"/>
    <mergeCell ref="B5:C5"/>
    <mergeCell ref="D5:E5"/>
    <mergeCell ref="H5:H7"/>
    <mergeCell ref="B6:C6"/>
    <mergeCell ref="D6:E6"/>
    <mergeCell ref="B7:C7"/>
    <mergeCell ref="D7:E7"/>
    <mergeCell ref="A2:K2"/>
    <mergeCell ref="A3:F3"/>
    <mergeCell ref="H3:K3"/>
    <mergeCell ref="A4:C4"/>
    <mergeCell ref="D4:E4"/>
    <mergeCell ref="H4:I4"/>
  </mergeCells>
  <dataValidations count="1">
    <dataValidation allowBlank="1" showInputMessage="1" showErrorMessage="1" errorTitle="توضیحات رو نخوندی" error="فقط خانه های زرد رنگ رو تکمیل کن" sqref="B24:B1048576 H5 J4:J7 I5:I7 D24:E25 C32:C1048576 G45:H1048576 L2:XFD22 D17:D22 C24:C30 D26:F1048576 I24:J24 H25:H31 G35:H36 I27:J1048576 K23:XFD1048576 E4 G4:G31 E8:E14 F4:F14 A2:A14 B4:D14 B17:C18 F17:F23 E17:E18 A17:A1048576 K4:K22"/>
  </dataValidations>
  <pageMargins left="0.7" right="0.7" top="0.75" bottom="0.75" header="0.3" footer="0.3"/>
  <pageSetup paperSize="9" scale="55" orientation="portrait" r:id="rId1"/>
  <colBreaks count="1" manualBreakCount="1">
    <brk id="11" max="1048575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'جزییات حق شاغل رسمی'!$A$2:$A$7</xm:f>
          </x14:formula1>
          <xm:sqref>C31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rightToLeft="1" view="pageBreakPreview" zoomScaleNormal="100" zoomScaleSheetLayoutView="100" workbookViewId="0">
      <selection activeCell="H5" sqref="H5"/>
    </sheetView>
  </sheetViews>
  <sheetFormatPr defaultRowHeight="12.75" x14ac:dyDescent="0.2"/>
  <cols>
    <col min="1" max="1" width="28.7109375" style="102" customWidth="1"/>
    <col min="2" max="2" width="9.5703125" style="102" customWidth="1"/>
    <col min="3" max="3" width="10.7109375" style="102" customWidth="1"/>
    <col min="4" max="4" width="10" style="102" customWidth="1"/>
    <col min="5" max="5" width="9.28515625" style="102" customWidth="1"/>
    <col min="6" max="6" width="23.5703125" style="102" customWidth="1"/>
    <col min="7" max="7" width="6.28515625" style="102" customWidth="1"/>
    <col min="8" max="8" width="17.5703125" style="102" customWidth="1"/>
    <col min="9" max="9" width="13.42578125" style="102" customWidth="1"/>
    <col min="10" max="10" width="13.85546875" style="102" customWidth="1"/>
    <col min="11" max="11" width="16.85546875" style="102" customWidth="1"/>
    <col min="12" max="12" width="11.140625" style="102" bestFit="1" customWidth="1"/>
    <col min="13" max="13" width="15.5703125" style="102" bestFit="1" customWidth="1"/>
    <col min="14" max="16384" width="9.140625" style="102"/>
  </cols>
  <sheetData>
    <row r="1" spans="1:11" ht="117.75" customHeight="1" x14ac:dyDescent="0.2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s="103" customFormat="1" ht="37.5" customHeight="1" x14ac:dyDescent="0.65">
      <c r="A2" s="198" t="s">
        <v>115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</row>
    <row r="3" spans="1:11" ht="22.5" x14ac:dyDescent="0.2">
      <c r="A3" s="104"/>
      <c r="B3" s="104"/>
      <c r="C3" s="104"/>
      <c r="D3" s="104"/>
      <c r="E3" s="105"/>
      <c r="F3" s="105"/>
      <c r="G3" s="105"/>
      <c r="H3" s="105"/>
      <c r="I3" s="105"/>
      <c r="J3" s="105"/>
      <c r="K3" s="105"/>
    </row>
    <row r="4" spans="1:11" ht="18.75" x14ac:dyDescent="0.55000000000000004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</row>
    <row r="5" spans="1:11" ht="26.25" x14ac:dyDescent="0.2">
      <c r="A5" s="195" t="s">
        <v>116</v>
      </c>
      <c r="B5" s="196"/>
      <c r="C5" s="196"/>
      <c r="D5" s="196"/>
      <c r="E5" s="196"/>
      <c r="F5" s="196"/>
      <c r="G5" s="197"/>
      <c r="H5" s="107">
        <v>62789425</v>
      </c>
      <c r="I5" s="105"/>
      <c r="J5" s="105"/>
      <c r="K5" s="105"/>
    </row>
    <row r="6" spans="1:11" ht="22.5" x14ac:dyDescent="0.2">
      <c r="A6" s="105"/>
      <c r="B6" s="105"/>
      <c r="C6" s="105"/>
      <c r="D6" s="105"/>
      <c r="E6" s="105"/>
      <c r="F6" s="105"/>
      <c r="G6" s="105"/>
      <c r="H6" s="105"/>
      <c r="I6" s="105"/>
      <c r="J6" s="105"/>
      <c r="K6" s="105"/>
    </row>
    <row r="7" spans="1:11" ht="25.5" customHeight="1" x14ac:dyDescent="0.2">
      <c r="A7" s="195" t="s">
        <v>117</v>
      </c>
      <c r="B7" s="196"/>
      <c r="C7" s="196"/>
      <c r="D7" s="196"/>
      <c r="E7" s="196"/>
      <c r="F7" s="196"/>
      <c r="G7" s="197"/>
      <c r="H7" s="108">
        <f>H5*1.25</f>
        <v>78486781.25</v>
      </c>
      <c r="I7" s="105"/>
      <c r="J7" s="105"/>
      <c r="K7" s="105"/>
    </row>
  </sheetData>
  <sheetProtection algorithmName="SHA-512" hashValue="pH/2JbXO6RZ/5Jfir8jNCNjU3NpMtJyY8KoSu7UZw0abMBubh2rs06Vo4VOAH9Wq7/u9cNYasam6uHXomm3B9Q==" saltValue="r/pFkpfrguIn9L7/4FLVgw==" spinCount="100000" sheet="1" objects="1" scenarios="1"/>
  <mergeCells count="3">
    <mergeCell ref="A5:G5"/>
    <mergeCell ref="A7:G7"/>
    <mergeCell ref="A2:K2"/>
  </mergeCells>
  <dataValidations count="1">
    <dataValidation allowBlank="1" showInputMessage="1" showErrorMessage="1" errorTitle="توضیحات رو نخوندی" error="فقط خانه های زرد رنگ رو تکمیل کن" sqref="L2:XFD1048576 A2:A6 B3:K4 H5:K6 A7:A1048576 H7:K1048576 B8:G1048576"/>
  </dataValidations>
  <pageMargins left="0.7" right="0.7" top="0.75" bottom="0.75" header="0.3" footer="0.3"/>
  <pageSetup scale="57" orientation="portrait" r:id="rId1"/>
  <colBreaks count="1" manualBreakCount="1">
    <brk id="11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V95"/>
  <sheetViews>
    <sheetView rightToLeft="1" topLeftCell="A67" workbookViewId="0">
      <selection activeCell="C82" sqref="C82"/>
    </sheetView>
  </sheetViews>
  <sheetFormatPr defaultColWidth="9.140625" defaultRowHeight="12.75" x14ac:dyDescent="0.2"/>
  <cols>
    <col min="1" max="1" width="16.28515625" style="59" customWidth="1"/>
    <col min="2" max="4" width="9.140625" style="59"/>
    <col min="5" max="5" width="10.42578125" style="59" customWidth="1"/>
    <col min="6" max="12" width="9.140625" style="59"/>
    <col min="13" max="13" width="8.7109375" style="59" customWidth="1"/>
    <col min="14" max="14" width="9.140625" style="59"/>
    <col min="15" max="15" width="37.85546875" style="59" bestFit="1" customWidth="1"/>
    <col min="16" max="16" width="14" style="59" bestFit="1" customWidth="1"/>
    <col min="17" max="17" width="14" style="59" customWidth="1"/>
    <col min="18" max="18" width="14.85546875" style="59" customWidth="1"/>
    <col min="19" max="19" width="9.42578125" style="59" bestFit="1" customWidth="1"/>
    <col min="20" max="20" width="9.140625" style="59"/>
    <col min="21" max="21" width="12.85546875" style="59" bestFit="1" customWidth="1"/>
    <col min="22" max="22" width="11.28515625" style="59" bestFit="1" customWidth="1"/>
    <col min="23" max="16384" width="9.140625" style="59"/>
  </cols>
  <sheetData>
    <row r="1" spans="1:17" x14ac:dyDescent="0.2">
      <c r="A1" s="65" t="s">
        <v>0</v>
      </c>
      <c r="B1" s="59">
        <f>'قراردادانجام کارمعین'!B32</f>
        <v>5</v>
      </c>
      <c r="E1" s="66"/>
      <c r="G1" s="67"/>
      <c r="H1" s="67"/>
      <c r="I1" s="67"/>
      <c r="J1" s="67"/>
      <c r="K1" s="67"/>
      <c r="L1" s="65"/>
    </row>
    <row r="2" spans="1:17" x14ac:dyDescent="0.2">
      <c r="A2" s="59" t="s">
        <v>1</v>
      </c>
      <c r="B2" s="68">
        <v>1</v>
      </c>
      <c r="L2" s="65"/>
    </row>
    <row r="3" spans="1:17" x14ac:dyDescent="0.2">
      <c r="A3" s="59" t="s">
        <v>2</v>
      </c>
      <c r="B3" s="68">
        <v>2</v>
      </c>
      <c r="L3" s="65"/>
    </row>
    <row r="4" spans="1:17" x14ac:dyDescent="0.2">
      <c r="A4" s="59" t="s">
        <v>3</v>
      </c>
      <c r="B4" s="68">
        <v>3</v>
      </c>
    </row>
    <row r="5" spans="1:17" x14ac:dyDescent="0.2">
      <c r="A5" s="59" t="s">
        <v>4</v>
      </c>
      <c r="B5" s="68">
        <v>4</v>
      </c>
    </row>
    <row r="6" spans="1:17" ht="22.5" x14ac:dyDescent="0.65">
      <c r="A6" s="59" t="s">
        <v>5</v>
      </c>
      <c r="B6" s="68">
        <v>5</v>
      </c>
      <c r="O6" s="69"/>
    </row>
    <row r="7" spans="1:17" ht="22.5" x14ac:dyDescent="0.65">
      <c r="A7" s="59" t="s">
        <v>6</v>
      </c>
      <c r="B7" s="68">
        <v>6</v>
      </c>
      <c r="O7" s="69"/>
    </row>
    <row r="8" spans="1:17" ht="22.5" x14ac:dyDescent="0.65">
      <c r="A8" s="65" t="str">
        <f>CHOOSE(B1,A2,A3,A4,A5,A6,A7)</f>
        <v>فوق ليسانس</v>
      </c>
      <c r="B8" s="70">
        <f>CHOOSE(B1,1100,1200,1400,1700,2000,2300)</f>
        <v>2000</v>
      </c>
      <c r="O8" s="69"/>
      <c r="P8" s="60"/>
      <c r="Q8" s="60"/>
    </row>
    <row r="9" spans="1:17" ht="22.5" x14ac:dyDescent="0.65">
      <c r="O9" s="69"/>
    </row>
    <row r="10" spans="1:17" ht="22.5" x14ac:dyDescent="0.65">
      <c r="A10" s="65" t="s">
        <v>8</v>
      </c>
      <c r="B10" s="60">
        <f>'قراردادانجام کارمعین'!C33</f>
        <v>1000</v>
      </c>
      <c r="C10" s="59">
        <f>ROUND(B10/2,0)</f>
        <v>500</v>
      </c>
      <c r="O10" s="69"/>
    </row>
    <row r="11" spans="1:17" ht="22.5" x14ac:dyDescent="0.65">
      <c r="B11" s="70">
        <f>IF(C10&lt;500,C10,500)</f>
        <v>500</v>
      </c>
      <c r="O11" s="69"/>
    </row>
    <row r="12" spans="1:17" ht="22.5" x14ac:dyDescent="0.65">
      <c r="B12" s="59" t="s">
        <v>46</v>
      </c>
      <c r="O12" s="69"/>
    </row>
    <row r="13" spans="1:17" ht="22.5" x14ac:dyDescent="0.65">
      <c r="A13" s="65" t="s">
        <v>9</v>
      </c>
      <c r="B13" s="59">
        <f>'قراردادانجام کارمعین'!B32</f>
        <v>5</v>
      </c>
      <c r="C13" s="63"/>
      <c r="O13" s="69"/>
    </row>
    <row r="14" spans="1:17" ht="22.5" x14ac:dyDescent="0.65">
      <c r="A14" s="59" t="s">
        <v>1</v>
      </c>
      <c r="B14" s="68">
        <v>1</v>
      </c>
      <c r="O14" s="69"/>
    </row>
    <row r="15" spans="1:17" ht="22.5" x14ac:dyDescent="0.65">
      <c r="A15" s="59" t="s">
        <v>2</v>
      </c>
      <c r="B15" s="68">
        <v>2</v>
      </c>
      <c r="O15" s="69"/>
    </row>
    <row r="16" spans="1:17" ht="22.5" x14ac:dyDescent="0.65">
      <c r="A16" s="59" t="s">
        <v>3</v>
      </c>
      <c r="B16" s="68">
        <v>3</v>
      </c>
      <c r="O16" s="69"/>
    </row>
    <row r="17" spans="1:17" ht="22.5" x14ac:dyDescent="0.65">
      <c r="A17" s="59" t="s">
        <v>4</v>
      </c>
      <c r="B17" s="68">
        <v>4</v>
      </c>
      <c r="O17" s="69"/>
    </row>
    <row r="18" spans="1:17" ht="22.5" x14ac:dyDescent="0.65">
      <c r="A18" s="59" t="s">
        <v>5</v>
      </c>
      <c r="B18" s="68">
        <v>5</v>
      </c>
      <c r="O18" s="69"/>
    </row>
    <row r="19" spans="1:17" ht="22.5" x14ac:dyDescent="0.65">
      <c r="A19" s="59" t="s">
        <v>6</v>
      </c>
      <c r="B19" s="68">
        <v>6</v>
      </c>
      <c r="O19" s="69"/>
      <c r="P19" s="60"/>
      <c r="Q19" s="60"/>
    </row>
    <row r="20" spans="1:17" ht="22.5" x14ac:dyDescent="0.65">
      <c r="A20" s="65" t="str">
        <f>CHOOSE(B13,A14,A15,A16,A17,A18,A19)</f>
        <v>فوق ليسانس</v>
      </c>
      <c r="B20" s="70">
        <f>CHOOSE(B13,200,250,300,400,600,800)</f>
        <v>600</v>
      </c>
      <c r="O20" s="69"/>
    </row>
    <row r="21" spans="1:17" ht="22.5" x14ac:dyDescent="0.65">
      <c r="O21" s="69"/>
    </row>
    <row r="22" spans="1:17" ht="22.5" x14ac:dyDescent="0.65">
      <c r="J22" s="63" t="s">
        <v>11</v>
      </c>
      <c r="K22" s="63" t="s">
        <v>12</v>
      </c>
      <c r="L22" s="63" t="s">
        <v>13</v>
      </c>
      <c r="O22" s="69"/>
    </row>
    <row r="23" spans="1:17" x14ac:dyDescent="0.2">
      <c r="K23" s="60">
        <f>J38</f>
        <v>0</v>
      </c>
      <c r="L23" s="60">
        <f>K38</f>
        <v>0</v>
      </c>
    </row>
    <row r="24" spans="1:17" x14ac:dyDescent="0.2">
      <c r="A24" s="71" t="s">
        <v>10</v>
      </c>
      <c r="B24" s="63" t="s">
        <v>11</v>
      </c>
      <c r="C24" s="63" t="s">
        <v>12</v>
      </c>
      <c r="D24" s="63" t="s">
        <v>13</v>
      </c>
      <c r="E24" s="59" t="s">
        <v>14</v>
      </c>
      <c r="G24" s="72" t="s">
        <v>27</v>
      </c>
      <c r="J24" s="73">
        <f t="shared" ref="J24:L29" si="0">B25</f>
        <v>0</v>
      </c>
      <c r="K24" s="73">
        <f t="shared" si="0"/>
        <v>0</v>
      </c>
      <c r="L24" s="73">
        <f t="shared" si="0"/>
        <v>0</v>
      </c>
      <c r="O24" s="74"/>
      <c r="P24" s="75"/>
      <c r="Q24" s="75"/>
    </row>
    <row r="25" spans="1:17" ht="22.5" x14ac:dyDescent="0.65">
      <c r="A25" s="59" t="s">
        <v>1</v>
      </c>
      <c r="B25" s="73">
        <f>'قراردادانجام کارمعین'!B38</f>
        <v>0</v>
      </c>
      <c r="C25" s="73">
        <f>'قراردادانجام کارمعین'!C38</f>
        <v>0</v>
      </c>
      <c r="D25" s="73">
        <f>'قراردادانجام کارمعین'!D38</f>
        <v>0</v>
      </c>
      <c r="E25" s="73">
        <f t="shared" ref="E25:E31" si="1">D25*360+C25*30+B25</f>
        <v>0</v>
      </c>
      <c r="F25" s="68">
        <f>ROUND(E25*10/360,0)</f>
        <v>0</v>
      </c>
      <c r="G25" s="72">
        <v>10</v>
      </c>
      <c r="J25" s="73">
        <f t="shared" si="0"/>
        <v>0</v>
      </c>
      <c r="K25" s="73">
        <f t="shared" si="0"/>
        <v>0</v>
      </c>
      <c r="L25" s="73">
        <f t="shared" si="0"/>
        <v>0</v>
      </c>
      <c r="O25" s="69"/>
      <c r="P25" s="75"/>
      <c r="Q25" s="75"/>
    </row>
    <row r="26" spans="1:17" ht="22.5" x14ac:dyDescent="0.65">
      <c r="A26" s="59" t="s">
        <v>2</v>
      </c>
      <c r="B26" s="73">
        <f>'قراردادانجام کارمعین'!B39</f>
        <v>0</v>
      </c>
      <c r="C26" s="73">
        <f>'قراردادانجام کارمعین'!C39</f>
        <v>0</v>
      </c>
      <c r="D26" s="73">
        <f>'قراردادانجام کارمعین'!D39</f>
        <v>0</v>
      </c>
      <c r="E26" s="73">
        <f t="shared" si="1"/>
        <v>0</v>
      </c>
      <c r="F26" s="68">
        <f>ROUND(E26*15/360,0)</f>
        <v>0</v>
      </c>
      <c r="G26" s="72">
        <v>15</v>
      </c>
      <c r="J26" s="73">
        <f t="shared" si="0"/>
        <v>0</v>
      </c>
      <c r="K26" s="73">
        <f t="shared" si="0"/>
        <v>0</v>
      </c>
      <c r="L26" s="73">
        <f t="shared" si="0"/>
        <v>0</v>
      </c>
      <c r="O26" s="69"/>
    </row>
    <row r="27" spans="1:17" x14ac:dyDescent="0.2">
      <c r="A27" s="59" t="s">
        <v>3</v>
      </c>
      <c r="B27" s="73">
        <f>'قراردادانجام کارمعین'!B40</f>
        <v>0</v>
      </c>
      <c r="C27" s="73">
        <f>'قراردادانجام کارمعین'!C40</f>
        <v>0</v>
      </c>
      <c r="D27" s="73">
        <f>'قراردادانجام کارمعین'!D40</f>
        <v>0</v>
      </c>
      <c r="E27" s="73">
        <f t="shared" si="1"/>
        <v>0</v>
      </c>
      <c r="F27" s="68">
        <f>ROUND(E27*20/360,0)</f>
        <v>0</v>
      </c>
      <c r="G27" s="72">
        <v>20</v>
      </c>
      <c r="J27" s="73">
        <f t="shared" si="0"/>
        <v>0</v>
      </c>
      <c r="K27" s="73">
        <f t="shared" si="0"/>
        <v>0</v>
      </c>
      <c r="L27" s="73">
        <f t="shared" si="0"/>
        <v>0</v>
      </c>
      <c r="O27" s="74"/>
    </row>
    <row r="28" spans="1:17" x14ac:dyDescent="0.2">
      <c r="A28" s="59" t="s">
        <v>4</v>
      </c>
      <c r="B28" s="73">
        <f>'قراردادانجام کارمعین'!B41</f>
        <v>0</v>
      </c>
      <c r="C28" s="73">
        <f>'قراردادانجام کارمعین'!C41</f>
        <v>0</v>
      </c>
      <c r="D28" s="73">
        <f>'قراردادانجام کارمعین'!D41</f>
        <v>0</v>
      </c>
      <c r="E28" s="73">
        <f t="shared" si="1"/>
        <v>0</v>
      </c>
      <c r="F28" s="68">
        <f>ROUND(E28*25/360,0)</f>
        <v>0</v>
      </c>
      <c r="G28" s="72">
        <v>25</v>
      </c>
      <c r="J28" s="73">
        <f t="shared" si="0"/>
        <v>0</v>
      </c>
      <c r="K28" s="73">
        <f t="shared" si="0"/>
        <v>0</v>
      </c>
      <c r="L28" s="73">
        <f t="shared" si="0"/>
        <v>0</v>
      </c>
    </row>
    <row r="29" spans="1:17" x14ac:dyDescent="0.2">
      <c r="A29" s="59" t="s">
        <v>5</v>
      </c>
      <c r="B29" s="73">
        <f>'قراردادانجام کارمعین'!B42</f>
        <v>0</v>
      </c>
      <c r="C29" s="73">
        <f>'قراردادانجام کارمعین'!C42</f>
        <v>0</v>
      </c>
      <c r="D29" s="73">
        <f>'قراردادانجام کارمعین'!D42</f>
        <v>0</v>
      </c>
      <c r="E29" s="73">
        <f t="shared" si="1"/>
        <v>0</v>
      </c>
      <c r="F29" s="68">
        <f>ROUND(E29*30/360,0)</f>
        <v>0</v>
      </c>
      <c r="G29" s="72">
        <v>30</v>
      </c>
      <c r="J29" s="73">
        <f t="shared" si="0"/>
        <v>0</v>
      </c>
      <c r="K29" s="73">
        <f t="shared" si="0"/>
        <v>0</v>
      </c>
      <c r="L29" s="73">
        <f t="shared" si="0"/>
        <v>0</v>
      </c>
    </row>
    <row r="30" spans="1:17" x14ac:dyDescent="0.2">
      <c r="A30" s="59" t="s">
        <v>6</v>
      </c>
      <c r="B30" s="73">
        <f>'قراردادانجام کارمعین'!B43</f>
        <v>0</v>
      </c>
      <c r="C30" s="73">
        <f>'قراردادانجام کارمعین'!C43</f>
        <v>0</v>
      </c>
      <c r="D30" s="73">
        <f>'قراردادانجام کارمعین'!D43</f>
        <v>0</v>
      </c>
      <c r="E30" s="73">
        <f t="shared" si="1"/>
        <v>0</v>
      </c>
      <c r="F30" s="68">
        <f>ROUND(E30*35/360,0)</f>
        <v>0</v>
      </c>
      <c r="G30" s="72">
        <v>35</v>
      </c>
      <c r="J30" s="73"/>
      <c r="K30" s="73"/>
      <c r="L30" s="73"/>
    </row>
    <row r="31" spans="1:17" x14ac:dyDescent="0.2">
      <c r="A31" s="71" t="s">
        <v>17</v>
      </c>
      <c r="B31" s="60"/>
      <c r="C31" s="60"/>
      <c r="D31" s="60"/>
      <c r="E31" s="73">
        <f t="shared" si="1"/>
        <v>0</v>
      </c>
      <c r="F31" s="68"/>
      <c r="J31" s="73">
        <f t="shared" ref="J31:L35" si="2">B32</f>
        <v>0</v>
      </c>
      <c r="K31" s="73">
        <f t="shared" si="2"/>
        <v>0</v>
      </c>
      <c r="L31" s="73">
        <f t="shared" si="2"/>
        <v>0</v>
      </c>
      <c r="P31" s="76"/>
      <c r="Q31" s="76"/>
    </row>
    <row r="32" spans="1:17" x14ac:dyDescent="0.2">
      <c r="A32" s="59" t="s">
        <v>1</v>
      </c>
      <c r="B32" s="60"/>
      <c r="C32" s="60"/>
      <c r="D32" s="60"/>
      <c r="E32" s="73">
        <f>D32*360+C32*30+B32</f>
        <v>0</v>
      </c>
      <c r="F32" s="68">
        <f>ROUND(E32*10/360,0)</f>
        <v>0</v>
      </c>
      <c r="G32" s="72">
        <v>10</v>
      </c>
      <c r="J32" s="73">
        <f t="shared" si="2"/>
        <v>0</v>
      </c>
      <c r="K32" s="73">
        <f t="shared" si="2"/>
        <v>0</v>
      </c>
      <c r="L32" s="73">
        <f t="shared" si="2"/>
        <v>0</v>
      </c>
    </row>
    <row r="33" spans="1:22" x14ac:dyDescent="0.2">
      <c r="A33" s="59" t="s">
        <v>2</v>
      </c>
      <c r="B33" s="60"/>
      <c r="C33" s="60"/>
      <c r="D33" s="60"/>
      <c r="E33" s="73">
        <f>D33*360+C33*30+B33</f>
        <v>0</v>
      </c>
      <c r="F33" s="68">
        <f>ROUND(E33*15/360,0)</f>
        <v>0</v>
      </c>
      <c r="G33" s="72">
        <v>15</v>
      </c>
      <c r="J33" s="73">
        <f t="shared" si="2"/>
        <v>0</v>
      </c>
      <c r="K33" s="73">
        <f t="shared" si="2"/>
        <v>0</v>
      </c>
      <c r="L33" s="73">
        <f t="shared" si="2"/>
        <v>0</v>
      </c>
    </row>
    <row r="34" spans="1:22" ht="22.5" x14ac:dyDescent="0.65">
      <c r="A34" s="59" t="s">
        <v>3</v>
      </c>
      <c r="B34" s="60"/>
      <c r="C34" s="60"/>
      <c r="D34" s="60"/>
      <c r="E34" s="73">
        <f>D34*360+C34*30+B34</f>
        <v>0</v>
      </c>
      <c r="F34" s="68">
        <f>ROUND(E34*20/360,0)</f>
        <v>0</v>
      </c>
      <c r="G34" s="72">
        <v>20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O34" s="69"/>
      <c r="P34" s="75"/>
      <c r="Q34" s="77"/>
      <c r="S34" s="78"/>
      <c r="U34" s="79"/>
      <c r="V34" s="80"/>
    </row>
    <row r="35" spans="1:22" ht="22.5" x14ac:dyDescent="0.65">
      <c r="A35" s="59" t="s">
        <v>4</v>
      </c>
      <c r="B35" s="60"/>
      <c r="C35" s="60"/>
      <c r="D35" s="60"/>
      <c r="E35" s="73">
        <f>D35*360+C35*30+B35</f>
        <v>0</v>
      </c>
      <c r="F35" s="68">
        <f>ROUND(E35*25/360,0)</f>
        <v>0</v>
      </c>
      <c r="G35" s="72">
        <v>25</v>
      </c>
      <c r="J35" s="73">
        <f t="shared" si="2"/>
        <v>0</v>
      </c>
      <c r="K35" s="73">
        <f t="shared" si="2"/>
        <v>0</v>
      </c>
      <c r="L35" s="73">
        <f t="shared" si="2"/>
        <v>0</v>
      </c>
      <c r="O35" s="69"/>
      <c r="P35" s="75"/>
      <c r="Q35" s="77"/>
      <c r="S35" s="78"/>
      <c r="U35" s="79"/>
      <c r="V35" s="79"/>
    </row>
    <row r="36" spans="1:22" ht="22.5" x14ac:dyDescent="0.65">
      <c r="A36" s="59" t="s">
        <v>5</v>
      </c>
      <c r="B36" s="60"/>
      <c r="C36" s="60"/>
      <c r="D36" s="60"/>
      <c r="E36" s="73">
        <f>D36*360+C36*30+B36</f>
        <v>0</v>
      </c>
      <c r="F36" s="68">
        <f>ROUND(E36*30/360,0)</f>
        <v>0</v>
      </c>
      <c r="G36" s="72">
        <v>30</v>
      </c>
      <c r="J36" s="60">
        <f>SUM(J24:J35)</f>
        <v>0</v>
      </c>
      <c r="K36" s="60">
        <f>SUM(K23:K35)</f>
        <v>0</v>
      </c>
      <c r="O36" s="69"/>
      <c r="P36" s="75"/>
      <c r="Q36" s="77"/>
      <c r="S36" s="78"/>
      <c r="U36" s="79"/>
      <c r="V36" s="79"/>
    </row>
    <row r="37" spans="1:22" ht="22.5" x14ac:dyDescent="0.65">
      <c r="A37" s="59" t="s">
        <v>47</v>
      </c>
      <c r="B37" s="73">
        <f>J37</f>
        <v>0</v>
      </c>
      <c r="C37" s="73">
        <f>K37</f>
        <v>0</v>
      </c>
      <c r="D37" s="73">
        <f>L37</f>
        <v>0</v>
      </c>
      <c r="F37" s="70">
        <f>ROUND(SUM(F25:F36),0)</f>
        <v>0</v>
      </c>
      <c r="G37" s="72"/>
      <c r="J37" s="60">
        <f>MOD(J36,30)</f>
        <v>0</v>
      </c>
      <c r="K37" s="60">
        <f>MOD(K36,12)</f>
        <v>0</v>
      </c>
      <c r="L37" s="60">
        <f>SUM(L23:L35)</f>
        <v>0</v>
      </c>
      <c r="O37" s="69"/>
      <c r="P37" s="75"/>
      <c r="Q37" s="77"/>
      <c r="S37" s="78"/>
      <c r="U37" s="79"/>
      <c r="V37" s="79"/>
    </row>
    <row r="38" spans="1:22" ht="22.5" x14ac:dyDescent="0.65">
      <c r="B38" s="63"/>
      <c r="J38" s="60">
        <f>INT((J24+J25+J26+J27+J28+J29+J31+J32+J33+J34+J35)/30)</f>
        <v>0</v>
      </c>
      <c r="K38" s="60">
        <f>INT((K23+K24+K25+K26+K27+K28+K29+K31+K32+K33+K34+K35)/12)</f>
        <v>0</v>
      </c>
      <c r="M38" s="60"/>
      <c r="O38" s="69"/>
      <c r="P38" s="75"/>
      <c r="Q38" s="77"/>
      <c r="S38" s="78"/>
      <c r="U38" s="79"/>
      <c r="V38" s="79"/>
    </row>
    <row r="39" spans="1:22" ht="22.5" x14ac:dyDescent="0.65">
      <c r="J39" s="63" t="s">
        <v>11</v>
      </c>
      <c r="K39" s="73">
        <f>J48</f>
        <v>0</v>
      </c>
      <c r="L39" s="73">
        <f>K48</f>
        <v>0</v>
      </c>
      <c r="O39" s="69"/>
      <c r="P39" s="75"/>
      <c r="Q39" s="77"/>
      <c r="S39" s="78"/>
      <c r="U39" s="79"/>
      <c r="V39" s="79"/>
    </row>
    <row r="40" spans="1:22" ht="22.5" x14ac:dyDescent="0.65">
      <c r="A40" s="71" t="s">
        <v>15</v>
      </c>
      <c r="B40" s="63" t="s">
        <v>11</v>
      </c>
      <c r="C40" s="63" t="s">
        <v>12</v>
      </c>
      <c r="D40" s="63" t="s">
        <v>13</v>
      </c>
      <c r="E40" s="59" t="s">
        <v>16</v>
      </c>
      <c r="G40" s="63" t="s">
        <v>27</v>
      </c>
      <c r="J40" s="60">
        <f t="shared" ref="J40:L45" si="3">B41</f>
        <v>0</v>
      </c>
      <c r="K40" s="60">
        <f t="shared" si="3"/>
        <v>0</v>
      </c>
      <c r="L40" s="60">
        <f t="shared" si="3"/>
        <v>0</v>
      </c>
      <c r="O40" s="69"/>
      <c r="P40" s="75"/>
      <c r="Q40" s="77"/>
      <c r="S40" s="78"/>
      <c r="U40" s="79"/>
      <c r="V40" s="79"/>
    </row>
    <row r="41" spans="1:22" ht="22.5" x14ac:dyDescent="0.65">
      <c r="A41" s="59" t="s">
        <v>1</v>
      </c>
      <c r="B41" s="60">
        <f>'قراردادانجام کارمعین'!I38</f>
        <v>0</v>
      </c>
      <c r="C41" s="60">
        <f>'قراردادانجام کارمعین'!J38</f>
        <v>0</v>
      </c>
      <c r="D41" s="60">
        <f>'قراردادانجام کارمعین'!K38</f>
        <v>0</v>
      </c>
      <c r="E41" s="73">
        <f t="shared" ref="E41:E46" si="4">D41*360+C41*30+B41</f>
        <v>0</v>
      </c>
      <c r="F41" s="81">
        <f>ROUND(E41*8/360,0)</f>
        <v>0</v>
      </c>
      <c r="G41" s="72">
        <v>8</v>
      </c>
      <c r="J41" s="60">
        <f t="shared" si="3"/>
        <v>0</v>
      </c>
      <c r="K41" s="60">
        <f t="shared" si="3"/>
        <v>0</v>
      </c>
      <c r="L41" s="60">
        <f t="shared" si="3"/>
        <v>0</v>
      </c>
      <c r="O41" s="69"/>
      <c r="P41" s="75"/>
      <c r="Q41" s="77"/>
      <c r="S41" s="78"/>
      <c r="U41" s="79"/>
      <c r="V41" s="79"/>
    </row>
    <row r="42" spans="1:22" ht="22.5" x14ac:dyDescent="0.65">
      <c r="A42" s="59" t="s">
        <v>2</v>
      </c>
      <c r="B42" s="60">
        <f>'قراردادانجام کارمعین'!I39</f>
        <v>0</v>
      </c>
      <c r="C42" s="60">
        <f>'قراردادانجام کارمعین'!J39</f>
        <v>0</v>
      </c>
      <c r="D42" s="60">
        <f>'قراردادانجام کارمعین'!K39</f>
        <v>0</v>
      </c>
      <c r="E42" s="73">
        <f t="shared" si="4"/>
        <v>0</v>
      </c>
      <c r="F42" s="81">
        <f>ROUND(E42*10/360,0)</f>
        <v>0</v>
      </c>
      <c r="G42" s="72">
        <v>10</v>
      </c>
      <c r="J42" s="60">
        <f t="shared" si="3"/>
        <v>0</v>
      </c>
      <c r="K42" s="60">
        <f t="shared" si="3"/>
        <v>0</v>
      </c>
      <c r="L42" s="60">
        <f t="shared" si="3"/>
        <v>0</v>
      </c>
      <c r="O42" s="69"/>
      <c r="P42" s="75"/>
      <c r="Q42" s="77"/>
      <c r="S42" s="78"/>
      <c r="U42" s="79"/>
      <c r="V42" s="79"/>
    </row>
    <row r="43" spans="1:22" x14ac:dyDescent="0.2">
      <c r="A43" s="59" t="s">
        <v>3</v>
      </c>
      <c r="B43" s="60">
        <f>'قراردادانجام کارمعین'!I40</f>
        <v>0</v>
      </c>
      <c r="C43" s="60">
        <f>'قراردادانجام کارمعین'!J40</f>
        <v>0</v>
      </c>
      <c r="D43" s="60">
        <f>'قراردادانجام کارمعین'!K40</f>
        <v>0</v>
      </c>
      <c r="E43" s="73">
        <f t="shared" si="4"/>
        <v>0</v>
      </c>
      <c r="F43" s="81">
        <f>ROUND(E43*12/360,0)</f>
        <v>0</v>
      </c>
      <c r="G43" s="72">
        <v>12</v>
      </c>
      <c r="J43" s="60">
        <f t="shared" si="3"/>
        <v>0</v>
      </c>
      <c r="K43" s="60">
        <f t="shared" si="3"/>
        <v>0</v>
      </c>
      <c r="L43" s="60">
        <f t="shared" si="3"/>
        <v>0</v>
      </c>
      <c r="P43" s="79"/>
      <c r="Q43" s="77"/>
      <c r="S43" s="78"/>
      <c r="U43" s="80"/>
      <c r="V43" s="79"/>
    </row>
    <row r="44" spans="1:22" x14ac:dyDescent="0.2">
      <c r="A44" s="59" t="s">
        <v>4</v>
      </c>
      <c r="B44" s="60">
        <f>'قراردادانجام کارمعین'!I41</f>
        <v>0</v>
      </c>
      <c r="C44" s="60">
        <f>'قراردادانجام کارمعین'!J41</f>
        <v>0</v>
      </c>
      <c r="D44" s="60">
        <f>'قراردادانجام کارمعین'!K41</f>
        <v>0</v>
      </c>
      <c r="E44" s="73">
        <f t="shared" si="4"/>
        <v>0</v>
      </c>
      <c r="F44" s="81">
        <f>ROUND(E44*14/360,0)</f>
        <v>0</v>
      </c>
      <c r="G44" s="72">
        <v>14</v>
      </c>
      <c r="J44" s="60">
        <f t="shared" si="3"/>
        <v>0</v>
      </c>
      <c r="K44" s="60">
        <f t="shared" si="3"/>
        <v>0</v>
      </c>
      <c r="L44" s="60">
        <f t="shared" si="3"/>
        <v>0</v>
      </c>
      <c r="P44" s="79"/>
    </row>
    <row r="45" spans="1:22" x14ac:dyDescent="0.2">
      <c r="A45" s="59" t="s">
        <v>5</v>
      </c>
      <c r="B45" s="60">
        <f>'قراردادانجام کارمعین'!I42</f>
        <v>0</v>
      </c>
      <c r="C45" s="60">
        <f>'قراردادانجام کارمعین'!J42</f>
        <v>0</v>
      </c>
      <c r="D45" s="60">
        <f>'قراردادانجام کارمعین'!K42</f>
        <v>0</v>
      </c>
      <c r="E45" s="73">
        <f t="shared" si="4"/>
        <v>0</v>
      </c>
      <c r="F45" s="81">
        <f>ROUND(E45*16/360,0)</f>
        <v>0</v>
      </c>
      <c r="G45" s="72">
        <v>16</v>
      </c>
      <c r="J45" s="60">
        <f t="shared" si="3"/>
        <v>0</v>
      </c>
      <c r="K45" s="60">
        <f t="shared" si="3"/>
        <v>0</v>
      </c>
      <c r="L45" s="60">
        <f t="shared" si="3"/>
        <v>0</v>
      </c>
    </row>
    <row r="46" spans="1:22" x14ac:dyDescent="0.2">
      <c r="A46" s="59" t="s">
        <v>6</v>
      </c>
      <c r="B46" s="60">
        <f>'قراردادانجام کارمعین'!I43</f>
        <v>0</v>
      </c>
      <c r="C46" s="60">
        <f>'قراردادانجام کارمعین'!J43</f>
        <v>0</v>
      </c>
      <c r="D46" s="60">
        <f>'قراردادانجام کارمعین'!K43</f>
        <v>0</v>
      </c>
      <c r="E46" s="73">
        <f t="shared" si="4"/>
        <v>0</v>
      </c>
      <c r="F46" s="81">
        <f>ROUND(E46*18/360,0)</f>
        <v>0</v>
      </c>
      <c r="G46" s="72">
        <v>18</v>
      </c>
      <c r="J46" s="60">
        <f>SUM(J40:J45)</f>
        <v>0</v>
      </c>
      <c r="K46" s="60">
        <f>SUM(K39:K45)</f>
        <v>0</v>
      </c>
    </row>
    <row r="47" spans="1:22" x14ac:dyDescent="0.2">
      <c r="A47" s="59" t="s">
        <v>48</v>
      </c>
      <c r="B47" s="60">
        <f>J47</f>
        <v>0</v>
      </c>
      <c r="C47" s="60">
        <f>K47</f>
        <v>0</v>
      </c>
      <c r="D47" s="60">
        <f>L47</f>
        <v>0</v>
      </c>
      <c r="F47" s="82">
        <f>ROUND(SUM(F41:F46),0)</f>
        <v>0</v>
      </c>
      <c r="J47" s="60">
        <f>MOD(J46,30)</f>
        <v>0</v>
      </c>
      <c r="K47" s="60">
        <f>MOD(K46,12)</f>
        <v>0</v>
      </c>
      <c r="L47" s="60">
        <f>SUM(L39:L45)</f>
        <v>0</v>
      </c>
    </row>
    <row r="48" spans="1:22" x14ac:dyDescent="0.2">
      <c r="J48" s="60">
        <f>INT((J40+J41+J42+J43+J44+J45)/30)</f>
        <v>0</v>
      </c>
      <c r="K48" s="60">
        <f>INT((K39+K40+K41+K42+K43+K44+K45)/12)</f>
        <v>0</v>
      </c>
    </row>
    <row r="49" spans="1:10" x14ac:dyDescent="0.2">
      <c r="A49" s="65" t="s">
        <v>18</v>
      </c>
      <c r="B49" s="63" t="s">
        <v>11</v>
      </c>
      <c r="C49" s="63" t="s">
        <v>12</v>
      </c>
      <c r="D49" s="63" t="s">
        <v>13</v>
      </c>
      <c r="E49" s="59" t="s">
        <v>21</v>
      </c>
    </row>
    <row r="50" spans="1:10" x14ac:dyDescent="0.2">
      <c r="A50" s="59" t="s">
        <v>19</v>
      </c>
      <c r="B50" s="73">
        <f>'قراردادانجام کارمعین'!I33</f>
        <v>0</v>
      </c>
      <c r="C50" s="73">
        <f>'قراردادانجام کارمعین'!J33</f>
        <v>0</v>
      </c>
      <c r="D50" s="73">
        <f>'قراردادانجام کارمعین'!K33</f>
        <v>0</v>
      </c>
      <c r="E50" s="73">
        <f>D50*360+C50*30+B50</f>
        <v>0</v>
      </c>
      <c r="F50" s="83">
        <f>E50/360*0.01</f>
        <v>0</v>
      </c>
      <c r="G50" s="59">
        <f>IF(F50&lt;=0.1,F50,0.1)</f>
        <v>0</v>
      </c>
      <c r="H50" s="60">
        <f>'جزییات حق شاغل قراردادی'!B81</f>
        <v>3100</v>
      </c>
      <c r="I50" s="82">
        <f>ROUND(H50*G50,0)</f>
        <v>0</v>
      </c>
    </row>
    <row r="51" spans="1:10" x14ac:dyDescent="0.2">
      <c r="A51" s="59" t="s">
        <v>20</v>
      </c>
      <c r="B51" s="73">
        <f>'قراردادانجام کارمعین'!I34</f>
        <v>0</v>
      </c>
      <c r="C51" s="73">
        <f>'قراردادانجام کارمعین'!J34</f>
        <v>0</v>
      </c>
      <c r="D51" s="73">
        <f>'قراردادانجام کارمعین'!K34</f>
        <v>0</v>
      </c>
      <c r="E51" s="73">
        <f>D51*360+C51*30+B51</f>
        <v>0</v>
      </c>
      <c r="F51" s="83">
        <f>E51/360*0.02</f>
        <v>0</v>
      </c>
      <c r="G51" s="59">
        <f>IF(F51&lt;=0.2,F51,0.2)</f>
        <v>0</v>
      </c>
      <c r="H51" s="60">
        <f>'جزییات حق شاغل قراردادی'!B81</f>
        <v>3100</v>
      </c>
      <c r="I51" s="82">
        <f>ROUND(H51*G51,0)</f>
        <v>0</v>
      </c>
      <c r="J51" s="60"/>
    </row>
    <row r="52" spans="1:10" x14ac:dyDescent="0.2">
      <c r="G52" s="59">
        <f>SUM(G50:G51)</f>
        <v>0</v>
      </c>
      <c r="I52" s="60">
        <f>SUM(I50:I51)</f>
        <v>0</v>
      </c>
      <c r="J52" s="83">
        <f>IF(G52&gt;=0/2,20%,G52)</f>
        <v>0.2</v>
      </c>
    </row>
    <row r="53" spans="1:10" x14ac:dyDescent="0.2">
      <c r="A53" s="59" t="s">
        <v>23</v>
      </c>
      <c r="B53" s="59" t="s">
        <v>24</v>
      </c>
      <c r="C53" s="59" t="s">
        <v>27</v>
      </c>
      <c r="D53" s="59" t="s">
        <v>26</v>
      </c>
    </row>
    <row r="54" spans="1:10" x14ac:dyDescent="0.2">
      <c r="B54" s="59">
        <v>5</v>
      </c>
      <c r="C54" s="84" t="s">
        <v>29</v>
      </c>
      <c r="D54" s="63">
        <v>400</v>
      </c>
      <c r="F54" s="59" t="s">
        <v>11</v>
      </c>
      <c r="G54" s="59" t="s">
        <v>12</v>
      </c>
      <c r="H54" s="59" t="s">
        <v>13</v>
      </c>
    </row>
    <row r="55" spans="1:10" x14ac:dyDescent="0.2">
      <c r="B55" s="59">
        <v>10</v>
      </c>
      <c r="C55" s="84" t="s">
        <v>30</v>
      </c>
      <c r="D55" s="63">
        <v>500</v>
      </c>
      <c r="E55" s="59" t="s">
        <v>45</v>
      </c>
    </row>
    <row r="56" spans="1:10" x14ac:dyDescent="0.2">
      <c r="B56" s="59">
        <v>15</v>
      </c>
      <c r="C56" s="84" t="s">
        <v>31</v>
      </c>
      <c r="D56" s="63">
        <v>600</v>
      </c>
    </row>
    <row r="57" spans="1:10" x14ac:dyDescent="0.2">
      <c r="B57" s="59">
        <v>20</v>
      </c>
      <c r="C57" s="84" t="s">
        <v>32</v>
      </c>
      <c r="D57" s="63">
        <v>700</v>
      </c>
      <c r="E57" s="59" t="s">
        <v>43</v>
      </c>
    </row>
    <row r="58" spans="1:10" x14ac:dyDescent="0.2">
      <c r="B58" s="59">
        <v>25</v>
      </c>
      <c r="C58" s="84" t="s">
        <v>33</v>
      </c>
      <c r="D58" s="63">
        <v>800</v>
      </c>
    </row>
    <row r="59" spans="1:10" x14ac:dyDescent="0.2">
      <c r="B59" s="59">
        <v>30</v>
      </c>
      <c r="C59" s="84" t="s">
        <v>34</v>
      </c>
      <c r="D59" s="63">
        <v>900</v>
      </c>
    </row>
    <row r="60" spans="1:10" x14ac:dyDescent="0.2">
      <c r="B60" s="59">
        <v>35</v>
      </c>
      <c r="C60" s="84" t="s">
        <v>35</v>
      </c>
      <c r="D60" s="63">
        <v>1000</v>
      </c>
    </row>
    <row r="61" spans="1:10" x14ac:dyDescent="0.2">
      <c r="B61" s="59">
        <v>40</v>
      </c>
      <c r="C61" s="84" t="s">
        <v>36</v>
      </c>
      <c r="D61" s="63">
        <v>1100</v>
      </c>
    </row>
    <row r="62" spans="1:10" x14ac:dyDescent="0.2">
      <c r="B62" s="59">
        <v>45</v>
      </c>
      <c r="C62" s="84" t="s">
        <v>37</v>
      </c>
      <c r="D62" s="63">
        <v>1200</v>
      </c>
    </row>
    <row r="63" spans="1:10" x14ac:dyDescent="0.2">
      <c r="B63" s="59">
        <v>50</v>
      </c>
      <c r="C63" s="84" t="s">
        <v>38</v>
      </c>
      <c r="D63" s="63">
        <v>1300</v>
      </c>
    </row>
    <row r="64" spans="1:10" x14ac:dyDescent="0.2">
      <c r="B64" s="59">
        <v>60</v>
      </c>
      <c r="C64" s="84" t="s">
        <v>39</v>
      </c>
      <c r="D64" s="63">
        <v>1500</v>
      </c>
    </row>
    <row r="65" spans="1:7" x14ac:dyDescent="0.2">
      <c r="B65" s="59" t="s">
        <v>25</v>
      </c>
      <c r="C65" s="84" t="s">
        <v>40</v>
      </c>
      <c r="D65" s="63">
        <v>1550</v>
      </c>
    </row>
    <row r="66" spans="1:7" x14ac:dyDescent="0.2">
      <c r="B66" s="59" t="s">
        <v>24</v>
      </c>
      <c r="C66" s="59">
        <v>0</v>
      </c>
      <c r="D66" s="63">
        <v>0</v>
      </c>
      <c r="E66" s="59" t="s">
        <v>28</v>
      </c>
      <c r="F66" s="59" t="s">
        <v>44</v>
      </c>
    </row>
    <row r="67" spans="1:7" x14ac:dyDescent="0.2">
      <c r="E67" s="60">
        <f>MAX(C66:D66)</f>
        <v>0</v>
      </c>
      <c r="F67" s="60">
        <f>ROUND(MIN(C66:D66)*0.25,0)</f>
        <v>0</v>
      </c>
    </row>
    <row r="68" spans="1:7" x14ac:dyDescent="0.2">
      <c r="A68" s="59" t="s">
        <v>23</v>
      </c>
      <c r="B68" s="68">
        <f>E67+F67</f>
        <v>0</v>
      </c>
    </row>
    <row r="72" spans="1:7" x14ac:dyDescent="0.2">
      <c r="B72" s="60"/>
    </row>
    <row r="73" spans="1:7" x14ac:dyDescent="0.2">
      <c r="A73" s="59" t="s">
        <v>22</v>
      </c>
      <c r="B73" s="60">
        <f>'قراردادانجام کارمعین'!D5</f>
        <v>4380</v>
      </c>
    </row>
    <row r="74" spans="1:7" x14ac:dyDescent="0.2">
      <c r="A74" s="59" t="s">
        <v>105</v>
      </c>
      <c r="B74" s="60">
        <f>'قراردادانجام کارمعین'!D6</f>
        <v>0</v>
      </c>
      <c r="G74" s="60"/>
    </row>
    <row r="75" spans="1:7" x14ac:dyDescent="0.2">
      <c r="A75" s="59" t="s">
        <v>107</v>
      </c>
      <c r="B75" s="60">
        <f>'قراردادانجام کارمعین'!D7</f>
        <v>2334</v>
      </c>
      <c r="C75" s="59">
        <f>ROUND(B75/0.8,0)</f>
        <v>2918</v>
      </c>
    </row>
    <row r="76" spans="1:7" x14ac:dyDescent="0.2">
      <c r="A76" s="59" t="s">
        <v>0</v>
      </c>
      <c r="B76" s="60">
        <f>B8</f>
        <v>2000</v>
      </c>
    </row>
    <row r="77" spans="1:7" x14ac:dyDescent="0.2">
      <c r="A77" s="59" t="s">
        <v>8</v>
      </c>
      <c r="B77" s="60">
        <f>B11</f>
        <v>500</v>
      </c>
    </row>
    <row r="78" spans="1:7" x14ac:dyDescent="0.2">
      <c r="A78" s="59" t="s">
        <v>9</v>
      </c>
      <c r="B78" s="60">
        <f>B20</f>
        <v>600</v>
      </c>
    </row>
    <row r="79" spans="1:7" x14ac:dyDescent="0.2">
      <c r="A79" s="59" t="s">
        <v>10</v>
      </c>
      <c r="B79" s="60">
        <f>F37</f>
        <v>0</v>
      </c>
    </row>
    <row r="80" spans="1:7" x14ac:dyDescent="0.2">
      <c r="A80" s="59" t="s">
        <v>15</v>
      </c>
      <c r="B80" s="60">
        <f>F47</f>
        <v>0</v>
      </c>
    </row>
    <row r="81" spans="1:6" x14ac:dyDescent="0.2">
      <c r="A81" s="59" t="s">
        <v>7</v>
      </c>
      <c r="B81" s="60">
        <f>SUM(B76:B80)</f>
        <v>3100</v>
      </c>
    </row>
    <row r="82" spans="1:6" x14ac:dyDescent="0.2">
      <c r="B82" s="60"/>
    </row>
    <row r="83" spans="1:6" x14ac:dyDescent="0.2">
      <c r="A83" s="59" t="s">
        <v>18</v>
      </c>
      <c r="B83" s="60">
        <f>'جزییات حق شاغل رسمی'!I50</f>
        <v>0</v>
      </c>
      <c r="C83" s="61" t="s">
        <v>41</v>
      </c>
      <c r="D83" s="59" t="s">
        <v>73</v>
      </c>
      <c r="E83" s="62" t="s">
        <v>112</v>
      </c>
    </row>
    <row r="84" spans="1:6" x14ac:dyDescent="0.2">
      <c r="A84" s="59" t="s">
        <v>20</v>
      </c>
      <c r="B84" s="60">
        <f>'جزییات حق شاغل رسمی'!I51</f>
        <v>0</v>
      </c>
      <c r="C84" s="60">
        <f>B83+B84</f>
        <v>0</v>
      </c>
      <c r="D84" s="59">
        <f>IF(C84&lt;=E84,C84,E84)</f>
        <v>0</v>
      </c>
      <c r="E84" s="59">
        <f>B81*0.2</f>
        <v>620</v>
      </c>
      <c r="F84" s="59" t="s">
        <v>72</v>
      </c>
    </row>
    <row r="85" spans="1:6" x14ac:dyDescent="0.2">
      <c r="A85" s="59" t="s">
        <v>42</v>
      </c>
      <c r="B85" s="60">
        <f>B81+D84</f>
        <v>3100</v>
      </c>
      <c r="F85" s="63">
        <f>ROUND(((B73+B74))*0.75,0)</f>
        <v>3285</v>
      </c>
    </row>
    <row r="86" spans="1:6" x14ac:dyDescent="0.2">
      <c r="A86" s="59" t="s">
        <v>106</v>
      </c>
      <c r="B86" s="60">
        <f>B85*1.5</f>
        <v>4650</v>
      </c>
      <c r="F86" s="63"/>
    </row>
    <row r="87" spans="1:6" x14ac:dyDescent="0.2">
      <c r="A87" s="59" t="s">
        <v>113</v>
      </c>
      <c r="B87" s="60">
        <f>IF(B86&gt;F85,F85,B86)</f>
        <v>3285</v>
      </c>
    </row>
    <row r="88" spans="1:6" x14ac:dyDescent="0.2">
      <c r="A88" s="59" t="s">
        <v>96</v>
      </c>
      <c r="B88" s="85"/>
    </row>
    <row r="89" spans="1:6" x14ac:dyDescent="0.2">
      <c r="B89" s="59">
        <f>IF(B87&gt;C75,B87,C75)</f>
        <v>3285</v>
      </c>
    </row>
    <row r="93" spans="1:6" x14ac:dyDescent="0.2">
      <c r="B93" s="60"/>
    </row>
    <row r="95" spans="1:6" x14ac:dyDescent="0.2">
      <c r="B95" s="60"/>
    </row>
  </sheetData>
  <sheetProtection password="CC65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اصلی</vt:lpstr>
      <vt:lpstr>رسمی پیمانی</vt:lpstr>
      <vt:lpstr>جزییات حق شاغل رسمی</vt:lpstr>
      <vt:lpstr>قراردادانجام کارمعین</vt:lpstr>
      <vt:lpstr>بازنشستگان و موظفین</vt:lpstr>
      <vt:lpstr>جزییات حق شاغل قراردادی</vt:lpstr>
      <vt:lpstr>اصلی!Print_Area</vt:lpstr>
      <vt:lpstr>'بازنشستگان و موظفین'!Print_Area</vt:lpstr>
      <vt:lpstr>'رسمی پیمانی'!Print_Area</vt:lpstr>
      <vt:lpstr>'قراردادانجام کارمعین'!Print_Area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fazel</dc:creator>
  <cp:lastModifiedBy>Windows User</cp:lastModifiedBy>
  <cp:lastPrinted>2018-06-11T09:19:12Z</cp:lastPrinted>
  <dcterms:created xsi:type="dcterms:W3CDTF">2009-05-18T04:20:18Z</dcterms:created>
  <dcterms:modified xsi:type="dcterms:W3CDTF">2021-05-11T19:15:55Z</dcterms:modified>
</cp:coreProperties>
</file>